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D:\Natalia Pineda\2021\IGAC\Indicadores\SINERGIA\Reportes avance indicadores SINERGIA\"/>
    </mc:Choice>
  </mc:AlternateContent>
  <xr:revisionPtr revIDLastSave="0" documentId="8_{2F370610-6A80-4E81-8D89-6C8F4BD52CF2}" xr6:coauthVersionLast="47" xr6:coauthVersionMax="47" xr10:uidLastSave="{00000000-0000-0000-0000-000000000000}"/>
  <bookViews>
    <workbookView xWindow="-120" yWindow="-120" windowWidth="20730" windowHeight="11160" xr2:uid="{00000000-000D-0000-FFFF-FFFF00000000}"/>
  </bookViews>
  <sheets>
    <sheet name="Seguimiento III Trim PND_2021" sheetId="1" r:id="rId1"/>
    <sheet name="Hoja4" sheetId="15" state="hidden" r:id="rId2"/>
    <sheet name="Rezagos Metas PND" sheetId="14" state="hidden" r:id="rId3"/>
    <sheet name="Hoja1" sheetId="11" state="hidden" r:id="rId4"/>
    <sheet name="Hoja2" sheetId="12" state="hidden" r:id="rId5"/>
    <sheet name="Hoja3" sheetId="13" state="hidden" r:id="rId6"/>
    <sheet name="Cartografía" sheetId="2" state="hidden" r:id="rId7"/>
    <sheet name="Caracterización geográfica" sheetId="4" state="hidden" r:id="rId8"/>
    <sheet name="Área con catastro actualiz" sheetId="5" state="hidden" r:id="rId9"/>
    <sheet name="SINIC" sheetId="6" state="hidden" r:id="rId10"/>
    <sheet name="Gestores habili" sheetId="7" state="hidden" r:id="rId11"/>
    <sheet name="Geoservicios" sheetId="8" state="hidden" r:id="rId12"/>
    <sheet name="PDET Actuali" sheetId="10" state="hidden" r:id="rId13"/>
  </sheets>
  <definedNames>
    <definedName name="_xlnm._FilterDatabase" localSheetId="2" hidden="1">'Rezagos Metas PND'!$A$3:$CC$11</definedName>
    <definedName name="_xlnm._FilterDatabase" localSheetId="0" hidden="1">'Seguimiento III Trim PND_2021'!$B$4:$CR$12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C12" i="1" l="1"/>
  <c r="DA12" i="1"/>
  <c r="DC11" i="1"/>
  <c r="DA11" i="1"/>
  <c r="DC10" i="1"/>
  <c r="DA10" i="1"/>
  <c r="DC9" i="1"/>
  <c r="DA9" i="1"/>
  <c r="DE8" i="1"/>
  <c r="DD8" i="1"/>
  <c r="DC8" i="1"/>
  <c r="DA8" i="1"/>
  <c r="DF7" i="1"/>
  <c r="DE7" i="1"/>
  <c r="DD7" i="1"/>
  <c r="DC7" i="1"/>
  <c r="DA7" i="1"/>
  <c r="DF6" i="1"/>
  <c r="DE6" i="1"/>
  <c r="DC6" i="1"/>
  <c r="DA6" i="1"/>
  <c r="DF5" i="1"/>
  <c r="DE5" i="1"/>
  <c r="DD5" i="1"/>
  <c r="DC5" i="1"/>
  <c r="CV11" i="1"/>
  <c r="DA5" i="1"/>
  <c r="CY5" i="1"/>
  <c r="CX5" i="1"/>
  <c r="CY11" i="1"/>
  <c r="CY10" i="1"/>
  <c r="CV10" i="1"/>
  <c r="CV9" i="1"/>
  <c r="CT9" i="1"/>
  <c r="CT10" i="1"/>
  <c r="CT11" i="1"/>
  <c r="CT12" i="1"/>
  <c r="CY8" i="1"/>
  <c r="CX8" i="1"/>
  <c r="CW8" i="1"/>
  <c r="CV8" i="1"/>
  <c r="CT8" i="1"/>
  <c r="CX7" i="1"/>
  <c r="CW7" i="1"/>
  <c r="CY7" i="1" s="1"/>
  <c r="CV7" i="1"/>
  <c r="CY6" i="1"/>
  <c r="CV6" i="1"/>
  <c r="CX6" i="1"/>
  <c r="CV5" i="1"/>
  <c r="CM12" i="1" l="1"/>
  <c r="CR11" i="1"/>
  <c r="CO11" i="1"/>
  <c r="CM11" i="1"/>
  <c r="CO10" i="1"/>
  <c r="CM10" i="1"/>
  <c r="CM8" i="1"/>
  <c r="CM9" i="1"/>
  <c r="BM7" i="1" l="1"/>
  <c r="CP5" i="1"/>
  <c r="CW5" i="1" s="1"/>
  <c r="CH11" i="1"/>
  <c r="BY11" i="1"/>
  <c r="BT11" i="1"/>
  <c r="CO7" i="1"/>
  <c r="CR7" i="1"/>
  <c r="CQ7" i="1"/>
  <c r="CT7" i="1" l="1"/>
  <c r="CM7" i="1"/>
  <c r="CR5" i="1"/>
  <c r="CQ5" i="1"/>
  <c r="CO5" i="1"/>
  <c r="CR10" i="1"/>
  <c r="CR8" i="1"/>
  <c r="CQ8" i="1"/>
  <c r="CC8" i="1"/>
  <c r="CJ8" i="1"/>
  <c r="CP8" i="1"/>
  <c r="CI8" i="1"/>
  <c r="CO8" i="1"/>
  <c r="CR6" i="1"/>
  <c r="CQ6" i="1"/>
  <c r="CO6" i="1"/>
  <c r="CD12" i="1"/>
  <c r="H7" i="15"/>
  <c r="H6" i="15"/>
  <c r="H5" i="15"/>
  <c r="H4" i="15"/>
  <c r="H3" i="15"/>
  <c r="CA12" i="1"/>
  <c r="CV12" i="1" s="1"/>
  <c r="BT12" i="1"/>
  <c r="CF12" i="1"/>
  <c r="CK11" i="1"/>
  <c r="CF11" i="1"/>
  <c r="BR11" i="1"/>
  <c r="CK10" i="1"/>
  <c r="CH10" i="1"/>
  <c r="CF10" i="1"/>
  <c r="CF9" i="1"/>
  <c r="BU8" i="1"/>
  <c r="CB8" i="1"/>
  <c r="CK8" i="1"/>
  <c r="CH8" i="1"/>
  <c r="CD8" i="1"/>
  <c r="CA8" i="1"/>
  <c r="CK6" i="1"/>
  <c r="CJ6" i="1"/>
  <c r="CH7" i="1"/>
  <c r="CH6" i="1"/>
  <c r="CH5" i="1"/>
  <c r="BY10" i="1"/>
  <c r="BR10" i="1"/>
  <c r="CH12" i="1" l="1"/>
  <c r="CO12" i="1"/>
  <c r="CA10" i="1"/>
  <c r="BW10" i="1"/>
  <c r="CD11" i="1"/>
  <c r="BW12" i="1"/>
  <c r="CD10" i="1"/>
  <c r="CD6" i="1"/>
  <c r="BY12" i="1"/>
  <c r="CA11" i="1"/>
  <c r="BW11" i="1"/>
  <c r="BY9" i="1"/>
  <c r="BM5" i="1"/>
  <c r="CT5" i="1" l="1"/>
  <c r="CM5" i="1"/>
  <c r="CF5" i="1"/>
  <c r="BF8" i="1"/>
  <c r="BW8" i="1"/>
  <c r="CA6" i="1"/>
  <c r="BW6" i="1" l="1"/>
  <c r="CC6" i="1"/>
  <c r="BD6" i="1"/>
  <c r="BV8" i="1"/>
  <c r="BM6" i="1"/>
  <c r="BV6" i="1"/>
  <c r="BV5" i="1"/>
  <c r="CA7" i="1"/>
  <c r="CA5" i="1"/>
  <c r="BY5" i="1"/>
  <c r="CT6" i="1" l="1"/>
  <c r="CM6" i="1"/>
  <c r="CF7" i="1"/>
  <c r="BY6" i="1"/>
  <c r="CF6" i="1"/>
  <c r="BV7" i="1"/>
  <c r="CB7" i="1"/>
  <c r="BW7" i="1"/>
  <c r="BW5" i="1"/>
  <c r="CB5" i="1"/>
  <c r="CI5" i="1" s="1"/>
  <c r="BR12" i="1"/>
  <c r="BJ11" i="1"/>
  <c r="BT10" i="1"/>
  <c r="BT9" i="1"/>
  <c r="BT7" i="1"/>
  <c r="BT5" i="1"/>
  <c r="BR5" i="1"/>
  <c r="BT8" i="1"/>
  <c r="BT6" i="1"/>
  <c r="BD8" i="1"/>
  <c r="BJ9" i="1"/>
  <c r="BF9" i="1"/>
  <c r="V9" i="1"/>
  <c r="BJ12" i="1"/>
  <c r="BF12" i="1"/>
  <c r="V12" i="1"/>
  <c r="V14" i="1"/>
  <c r="V15" i="1"/>
  <c r="L7" i="13"/>
  <c r="L6" i="13"/>
  <c r="BF11" i="1"/>
  <c r="V11" i="1"/>
  <c r="K7" i="13"/>
  <c r="K6" i="13"/>
  <c r="K5" i="13"/>
  <c r="K4" i="13"/>
  <c r="BJ7" i="1"/>
  <c r="BF7" i="1"/>
  <c r="P4" i="12"/>
  <c r="O4" i="12"/>
  <c r="N4" i="12"/>
  <c r="M4" i="12"/>
  <c r="BK5" i="1"/>
  <c r="BJ5" i="1"/>
  <c r="I7" i="12"/>
  <c r="BF5" i="1"/>
  <c r="V7" i="1"/>
  <c r="V5" i="1"/>
  <c r="CK12" i="1" l="1"/>
  <c r="CD7" i="1"/>
  <c r="CI7" i="1"/>
  <c r="CJ5" i="1"/>
  <c r="CK5" i="1"/>
  <c r="CC7" i="1"/>
  <c r="CD9" i="1"/>
  <c r="BW9" i="1"/>
  <c r="CA9" i="1" s="1"/>
  <c r="CC5" i="1"/>
  <c r="CD5" i="1"/>
  <c r="BR7" i="1"/>
  <c r="BY7" i="1"/>
  <c r="BG8" i="1"/>
  <c r="BG6" i="1"/>
  <c r="BH6" i="1"/>
  <c r="BJ10" i="1"/>
  <c r="BF10" i="1"/>
  <c r="V10" i="1"/>
  <c r="BJ8" i="1"/>
  <c r="V8" i="1"/>
  <c r="BJ6" i="1"/>
  <c r="BF6" i="1"/>
  <c r="V6" i="1"/>
  <c r="Q5" i="14"/>
  <c r="BE4" i="14"/>
  <c r="AV4" i="14"/>
  <c r="BD8" i="14"/>
  <c r="BB8" i="14"/>
  <c r="AZ8" i="14"/>
  <c r="BD4" i="14"/>
  <c r="AZ4" i="14"/>
  <c r="CJ7" i="1" l="1"/>
  <c r="CK7" i="1"/>
  <c r="CK9" i="1"/>
  <c r="CH9" i="1"/>
  <c r="BD6" i="14"/>
  <c r="Q4" i="14"/>
  <c r="T4" i="14"/>
  <c r="W4" i="14"/>
  <c r="Z4" i="14"/>
  <c r="AC4" i="14"/>
  <c r="AF4" i="14"/>
  <c r="AI4" i="14"/>
  <c r="AL4" i="14"/>
  <c r="AO4" i="14"/>
  <c r="T5" i="14"/>
  <c r="W5" i="14"/>
  <c r="Z5" i="14"/>
  <c r="AC5" i="14"/>
  <c r="AF5" i="14"/>
  <c r="AI5" i="14"/>
  <c r="Q6" i="14"/>
  <c r="T6" i="14"/>
  <c r="W6" i="14"/>
  <c r="Z6" i="14"/>
  <c r="AC6" i="14"/>
  <c r="AF6" i="14"/>
  <c r="AI6" i="14"/>
  <c r="AL6" i="14"/>
  <c r="AO6" i="14"/>
  <c r="Q7" i="14"/>
  <c r="T7" i="14"/>
  <c r="W7" i="14"/>
  <c r="Z7" i="14"/>
  <c r="AC7" i="14"/>
  <c r="AF7" i="14"/>
  <c r="AI7" i="14"/>
  <c r="AO7" i="14"/>
  <c r="Q8" i="14"/>
  <c r="T8" i="14"/>
  <c r="W8" i="14"/>
  <c r="Z8" i="14"/>
  <c r="AC8" i="14"/>
  <c r="AF8" i="14"/>
  <c r="AI8" i="14"/>
  <c r="Q9" i="14"/>
  <c r="T9" i="14"/>
  <c r="W9" i="14"/>
  <c r="Z9" i="14"/>
  <c r="AC9" i="14"/>
  <c r="AF9" i="14"/>
  <c r="AI9" i="14"/>
  <c r="AL9" i="14"/>
  <c r="AO9" i="14"/>
  <c r="Q10" i="14"/>
  <c r="T10" i="14"/>
  <c r="W10" i="14"/>
  <c r="Z10" i="14"/>
  <c r="AC10" i="14"/>
  <c r="AF10" i="14"/>
  <c r="AI10" i="14"/>
  <c r="AL10" i="14"/>
  <c r="AO10" i="14"/>
  <c r="T11" i="14"/>
  <c r="W11" i="14"/>
  <c r="Z11" i="14"/>
  <c r="AC11" i="14"/>
  <c r="AF11" i="14"/>
  <c r="AI11" i="14"/>
  <c r="AL11" i="14"/>
  <c r="AO11" i="14"/>
  <c r="AX11" i="14"/>
  <c r="AV11" i="14"/>
  <c r="AR11" i="14"/>
  <c r="O11" i="14"/>
  <c r="AX10" i="14"/>
  <c r="AU10" i="14"/>
  <c r="AV10" i="14" s="1"/>
  <c r="AR10" i="14"/>
  <c r="M10" i="14"/>
  <c r="O10" i="14" s="1"/>
  <c r="AW9" i="14"/>
  <c r="AX9" i="14" s="1"/>
  <c r="AV9" i="14"/>
  <c r="AR9" i="14"/>
  <c r="M9" i="14"/>
  <c r="O9" i="14" s="1"/>
  <c r="AX8" i="14"/>
  <c r="AV8" i="14"/>
  <c r="M8" i="14"/>
  <c r="O8" i="14" s="1"/>
  <c r="AR7" i="14"/>
  <c r="M7" i="14"/>
  <c r="O7" i="14" s="1"/>
  <c r="AX6" i="14"/>
  <c r="AV6" i="14"/>
  <c r="AR6" i="14"/>
  <c r="M6" i="14"/>
  <c r="O6" i="14" s="1"/>
  <c r="M5" i="14"/>
  <c r="O5" i="14" s="1"/>
  <c r="AX4" i="14"/>
  <c r="AR4" i="14"/>
  <c r="O4" i="14"/>
  <c r="AT10" i="1"/>
  <c r="AQ10" i="1"/>
  <c r="AN10" i="1"/>
  <c r="AK10" i="1"/>
  <c r="AH10" i="1"/>
  <c r="AE10" i="1"/>
  <c r="AB10" i="1"/>
  <c r="AB9" i="1"/>
  <c r="AE7" i="1"/>
  <c r="AB7" i="1"/>
  <c r="AE5" i="1"/>
  <c r="AB5" i="1"/>
  <c r="T5" i="1"/>
  <c r="AE12" i="1"/>
  <c r="AT5" i="14" l="1"/>
  <c r="AN11" i="1"/>
  <c r="AZ11" i="1"/>
  <c r="AW11" i="1"/>
  <c r="AT11" i="1"/>
  <c r="AQ11" i="1"/>
  <c r="AK11" i="1"/>
  <c r="AH11" i="1"/>
  <c r="AE11" i="1"/>
  <c r="AB11" i="1"/>
  <c r="E18" i="13"/>
  <c r="E17" i="13"/>
  <c r="D16" i="13"/>
  <c r="E16" i="13" s="1"/>
  <c r="E15" i="13"/>
  <c r="H10" i="12"/>
  <c r="H22" i="13"/>
  <c r="E18" i="12"/>
  <c r="E17" i="12"/>
  <c r="D16" i="12"/>
  <c r="E15" i="12"/>
  <c r="D19" i="12" l="1"/>
  <c r="E19" i="12" s="1"/>
  <c r="I14" i="12"/>
  <c r="D19" i="13"/>
  <c r="E19" i="13" s="1"/>
  <c r="E16" i="12"/>
  <c r="AZ8" i="1"/>
  <c r="AW10" i="1"/>
  <c r="AW8" i="1"/>
  <c r="AQ8" i="1"/>
  <c r="AN8" i="1"/>
  <c r="AK8" i="1"/>
  <c r="AZ12" i="1"/>
  <c r="AW12" i="1"/>
  <c r="AT12" i="1"/>
  <c r="AQ12" i="1"/>
  <c r="AB12" i="1"/>
  <c r="AZ7" i="1"/>
  <c r="AW7" i="1"/>
  <c r="AT7" i="1"/>
  <c r="AZ5" i="1"/>
  <c r="AW5" i="1"/>
  <c r="AT5" i="1"/>
  <c r="AQ5" i="1"/>
  <c r="AH5" i="1"/>
  <c r="AZ10" i="1" l="1"/>
  <c r="AQ9" i="1" l="1"/>
  <c r="AQ7" i="1"/>
  <c r="AQ6" i="1"/>
  <c r="AN12" i="1" l="1"/>
  <c r="AN9" i="1"/>
  <c r="AN7" i="1"/>
  <c r="AN5" i="1"/>
  <c r="AN6" i="1" l="1"/>
  <c r="AK6" i="1" l="1"/>
  <c r="AK7" i="1"/>
  <c r="AK9" i="1"/>
  <c r="AK12" i="1"/>
  <c r="AK5" i="1"/>
  <c r="J3" i="10" l="1"/>
  <c r="I3" i="8"/>
  <c r="J3" i="7"/>
  <c r="J3" i="6"/>
  <c r="J3" i="5"/>
  <c r="H3" i="4"/>
  <c r="J3" i="4" s="1"/>
  <c r="J3" i="2"/>
  <c r="AH12" i="1" l="1"/>
  <c r="AE9" i="1" l="1"/>
  <c r="AH9" i="1"/>
  <c r="AH8" i="1"/>
  <c r="AE8" i="1"/>
  <c r="AB8" i="1"/>
  <c r="AE6" i="1"/>
  <c r="AB6" i="1"/>
  <c r="AH7" i="1"/>
  <c r="AH6" i="1" l="1"/>
  <c r="T12" i="1" l="1"/>
  <c r="P11" i="1" l="1"/>
  <c r="T11" i="1" s="1"/>
  <c r="P10" i="1"/>
  <c r="T10" i="1" s="1"/>
  <c r="P9" i="1"/>
  <c r="T9" i="1" s="1"/>
  <c r="P8" i="1"/>
  <c r="T8" i="1" s="1"/>
  <c r="P7" i="1"/>
  <c r="T7" i="1" s="1"/>
  <c r="P6" i="1"/>
  <c r="T6" i="1" s="1"/>
  <c r="CO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XIMENA RUISEÑORA</author>
    <author>Natalia Pineda</author>
  </authors>
  <commentList>
    <comment ref="Z5" authorId="0" shapeId="0" xr:uid="{49C09B62-9E1C-470C-ADFE-C39D486433BC}">
      <text>
        <r>
          <rPr>
            <sz val="9"/>
            <color indexed="81"/>
            <rFont val="Tahoma"/>
            <family val="2"/>
          </rPr>
          <t xml:space="preserve">
20%</t>
        </r>
      </text>
    </comment>
    <comment ref="M11" authorId="1" shapeId="0" xr:uid="{9018FFCB-D1FF-4F6C-A81B-940EC172BC3C}">
      <text>
        <r>
          <rPr>
            <b/>
            <sz val="12"/>
            <color indexed="81"/>
            <rFont val="Tahoma"/>
            <family val="2"/>
          </rPr>
          <t>Natalia Pineda:</t>
        </r>
        <r>
          <rPr>
            <sz val="12"/>
            <color indexed="81"/>
            <rFont val="Tahoma"/>
            <family val="2"/>
          </rPr>
          <t xml:space="preserve">
Se ajusta la meta a 500 geoservicios, a partir del mes de junio 2021</t>
        </r>
      </text>
    </comment>
    <comment ref="N11" authorId="1" shapeId="0" xr:uid="{D07C5DB3-B45C-4B70-926B-EBCBF48906B2}">
      <text>
        <r>
          <rPr>
            <b/>
            <sz val="9"/>
            <color indexed="81"/>
            <rFont val="Tahoma"/>
            <charset val="1"/>
          </rPr>
          <t>Natalia Pineda:</t>
        </r>
        <r>
          <rPr>
            <sz val="9"/>
            <color indexed="81"/>
            <rFont val="Tahoma"/>
            <charset val="1"/>
          </rPr>
          <t xml:space="preserve">
Se ajusta la meta a 500 geoservicios, a partir del mes de junio 2021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XIMENA RUISEÑORA</author>
  </authors>
  <commentList>
    <comment ref="G4" authorId="0" shapeId="0" xr:uid="{24212237-61B7-4331-ACAA-FFBD61BB5921}">
      <text>
        <r>
          <rPr>
            <sz val="9"/>
            <color indexed="81"/>
            <rFont val="Tahoma"/>
            <family val="2"/>
          </rPr>
          <t xml:space="preserve">
</t>
        </r>
        <r>
          <rPr>
            <sz val="14"/>
            <color indexed="81"/>
            <rFont val="Tahoma"/>
            <family val="2"/>
          </rPr>
          <t>27%: SOLO 2021</t>
        </r>
      </text>
    </comment>
    <comment ref="R4" authorId="0" shapeId="0" xr:uid="{BE81692E-649F-4E22-ADF0-4D0FDD882735}">
      <text>
        <r>
          <rPr>
            <sz val="9"/>
            <color indexed="81"/>
            <rFont val="Tahoma"/>
            <family val="2"/>
          </rPr>
          <t xml:space="preserve">
20%</t>
        </r>
      </text>
    </comment>
    <comment ref="AW4" authorId="0" shapeId="0" xr:uid="{C0C3FFB6-362B-4E9B-9D10-89B2DB0A373B}">
      <text>
        <r>
          <rPr>
            <b/>
            <sz val="9"/>
            <color indexed="81"/>
            <rFont val="Tahoma"/>
            <family val="2"/>
          </rPr>
          <t xml:space="preserve">XIMENA </t>
        </r>
        <r>
          <rPr>
            <sz val="9"/>
            <color indexed="81"/>
            <rFont val="Tahoma"/>
            <family val="2"/>
          </rPr>
          <t xml:space="preserve">
Ver hoja 2
</t>
        </r>
      </text>
    </comment>
    <comment ref="G6" authorId="0" shapeId="0" xr:uid="{587DF1D6-9916-41A9-905E-CC210CF12B1C}">
      <text>
        <r>
          <rPr>
            <sz val="14"/>
            <color indexed="81"/>
            <rFont val="Tahoma"/>
            <family val="2"/>
          </rPr>
          <t xml:space="preserve">
12%: SOLO 2021</t>
        </r>
      </text>
    </comment>
    <comment ref="AW6" authorId="0" shapeId="0" xr:uid="{3A792C62-AB5C-4D61-9903-14E80FA1463D}">
      <text>
        <r>
          <rPr>
            <b/>
            <sz val="9"/>
            <color indexed="81"/>
            <rFont val="Tahoma"/>
            <family val="2"/>
          </rPr>
          <t xml:space="preserve">XIMENA </t>
        </r>
        <r>
          <rPr>
            <sz val="9"/>
            <color indexed="81"/>
            <rFont val="Tahoma"/>
            <family val="2"/>
          </rPr>
          <t xml:space="preserve">
Este valor incluye base, (ver hoja 3)</t>
        </r>
      </text>
    </comment>
  </commentList>
</comments>
</file>

<file path=xl/sharedStrings.xml><?xml version="1.0" encoding="utf-8"?>
<sst xmlns="http://schemas.openxmlformats.org/spreadsheetml/2006/main" count="826" uniqueCount="345">
  <si>
    <t>PACTOS DEL PND</t>
  </si>
  <si>
    <t>META CUATRIENIO</t>
  </si>
  <si>
    <t>UNIDAD DE MEDIDA</t>
  </si>
  <si>
    <t>Meta anualizada</t>
  </si>
  <si>
    <t>Porcentaje</t>
  </si>
  <si>
    <t>Subdirección de Catastro</t>
  </si>
  <si>
    <t>Porcentaje del área geográfica con caracterización geográfica</t>
  </si>
  <si>
    <t>Porcentaje de área geográfica en municipios PDET con catastro actualizado</t>
  </si>
  <si>
    <t>Número</t>
  </si>
  <si>
    <t>Gestores catastrales habilitados</t>
  </si>
  <si>
    <t>Gestores habilitados</t>
  </si>
  <si>
    <t>Geoservicios publicados y disponibles</t>
  </si>
  <si>
    <t>CIAF</t>
  </si>
  <si>
    <t>INDICADORES</t>
  </si>
  <si>
    <t>Porcentaje del área geográfica con catastro actualizado  </t>
  </si>
  <si>
    <t xml:space="preserve">Porcentaje de implementación del Sistema Nacional de Información de Catastro Multipropósito </t>
  </si>
  <si>
    <t>Porcentaje del área geográfica con cartografía básica a las escalas y con la temporalidad adecuadas</t>
  </si>
  <si>
    <t>SEGUIMIENTO 2019</t>
  </si>
  <si>
    <t>Meta 2019</t>
  </si>
  <si>
    <t>Avance cuantitativo</t>
  </si>
  <si>
    <t>SEGUIMIENTO 2020</t>
  </si>
  <si>
    <t>% de avance de meta a marzo de 2020</t>
  </si>
  <si>
    <t xml:space="preserve">Subdirección de Catastro </t>
  </si>
  <si>
    <t xml:space="preserve">Subdirección de Geografía y Cartografía </t>
  </si>
  <si>
    <t>% de avance a diciembre de 2019</t>
  </si>
  <si>
    <t>Avance cualitativo</t>
  </si>
  <si>
    <t>Para el año 2019 se generaron 3.820.715,53 productos de Cartografía básica a escalas medianas, que equivalen al 3% del área geográfica con cartografía básica a las escalas y con la temporalidad adecuadas, del total del área geográfica continental e insular del pais. Se generaron los siguientes productos: -Productos cartograficos a escala 1:25.000 (539.436 ha). -Modelo digital de terreno - DTM de la Plata 10K (25.849,515 ha). -Modelo digital de elevación TREx (533.474 ha). -Ortofoto Ibagué 10K (29.016 ha). -Ortofoto, Modelo digital de terreno - DTM, vectores y salidas gráficas de Boyacá (574.922,91 ha). -Modelo digital de Terreno Trex (303.000 ha). -Entrega de 100 hojas 25k (1.420.174,1 ha). -Ortofotomosaico/ortoimagen, DTM, 10k para los municipios de: Mahates - Bolívar (43.218 ha). Córdoba - Bolívar (59.731 ha). El Guamo - Bolívar (38.317 ha). Puerto Lleras - Meta (253.577 ha).</t>
  </si>
  <si>
    <t>Se finalizó el proceso de actualización catastral de los 9 municipios programados en 2019. A 1 de enero de 2020, se reportan 2.564.383,61 Ha. actualizadas catastralmente a nivel nacional, las cuales corresponden al 2,25% del área geográfica del país. La meta programada fue establecida en 8,5%, por lo cual se cumplió en un 27%; esto se debe a la reprogramación que se realizó, para adelantar el proceso de actualización catastral del área rural de Cumaribo (6.559.728,12 Ha.) en la vigencia 2020, debido a la necesidad de contar con los procedimientos de catastro multipropósito y los lineamientos para la gestión catastral que se debe adelantar en los municipios con presencia de grupos étnicos, adoptados.</t>
  </si>
  <si>
    <t>Se llevó a cabo la actualización de los municipios de La Jagua de Ibirico, Cesar, Ovejas y Sucre (PDET). Estos municipios pertenecen a la jurisdicción del IGAC y cuentan con un área total de 121.595,52 Ha. Teniendo en cuenta que los municipios PDET tienen un área geográfica de 39.084.775,05, se da cumplimiento al 0,31% de la meta del cuatrienio, según lo programado.</t>
  </si>
  <si>
    <t>Al finalizar la vigencia 2019, se contó con 8 gestores catastrales habilitados: Bogotá, Cali, Antioquia, Medellín, Barranquilla, Área Metropolitana de Centro Occidente, Área Metropolitana de Bucaramanga y el Departamento del Valle.</t>
  </si>
  <si>
    <t>A diciembre de 2019 se realizó mantenimiento a ciento ochenta y tres (183) Geoservicios publicados y disponibles en el Portal Geográfico Nacional. Así mismo se realizó la incorporación de dos (2) nuevos geoservicios los cuales se encuentran disponibles en el PGN, estos geoservicios pertenecen a la Infraestructura de Datos Espaciales para el Distrito Capital (IDECA) y hacen parte del sector Territorial y Fronteras. A la fecha se cuenta con un acumulado de ciento ochenta y cinco (185) geoservicios publicados y disponibles en el PGN. La meta se ha superado debido que algunas entidades fueron más receptivas a los requerimientos y demandas de la información geográfica para ser incorporada al PGN y por lo tanto han participado con más geoservicios publicados.</t>
  </si>
  <si>
    <t>Para el año 2019 se generaron los estudios técnicos sobre geografía, que equivalen al 23% del área geográfica con caracterización geográfica, del área total geográfica continental e insular del país. En el mes de diciembre se concluyeron los procesos económicos y de ocupación y apropiación del territorio para la región Piedemonte Amazónico de Putumayo y Cauca. En cuanto al mapa turístico de Putumayo, se realizaron ajustes a partir de las sugerencias de la imprenta nacional de Colombia; se actualizaron los videos y se creó el QR para el mapa departamental de Putumayo.</t>
  </si>
  <si>
    <t>Observaciones</t>
  </si>
  <si>
    <t>A diciembre de 2019, se realizó la puesta en producción del módulo de habilitación, que permite la radicación de una solicitud por parte de un interesado en ser gestor con sus respectivos requisitos, asignando la tarea de revisión y aprobación del componente jurídico, técnico y financiero, hasta el cargue de la resolución de habilitación o rechazo.</t>
  </si>
  <si>
    <t xml:space="preserve">
XI.    Pacto por la Construcción de Paz: Cultura de la legalidad, convivencia, estabilización y víctimas
XVI. Pacto por la descentralización: conectar territorios, gobiernos y poblaciones</t>
  </si>
  <si>
    <t>XVI. Pacto por la descentralización: conectar territorios, gobiernos y poblaciones</t>
  </si>
  <si>
    <t xml:space="preserve">RESPONSABLE </t>
  </si>
  <si>
    <t>Al mes de marzo se finalizó la edición de los vectores que conforman la cartografía básica de 102.964 ha pertenecientes a los municipios de Córdoba y Mahates. Así mismo, se realizó el levantamiento de 16 puntos de fotocontrol en el municipio de Rioblanco, utilizando tecnología GNSS y exploración de la Red geodésica del IGAC en la zona del proyecto. Por otro lado, se realizó la preparación de insumos y asignación bloques de restitución para áreas parciales de los municipios de El Rosal, Facatativá, La Vega, Pacho, Paime, San Cayetano, San Francisco, Subachoque, Supatá y Villagómez. Adicionalmente, se realizó la validación de la base de datos rural (73.000 has.) del municipio de Monterrey, Casanare.</t>
  </si>
  <si>
    <t>El avance cuantitativo se reportará a finales de enero de 2021, momento en el cual se contará con la información de los catastros habilitados y entrará en vigencia la actualización catastral del área del país intervenida en el 2020. Aunque se continúa adelantando la programación del proceso de actualización catastral para la vigencia 2020 a nivel nacional, se está avanzando en la fase de alistamiento del proceso de actualización catastral del área rural del municipio de Cumaribo y el área urbana de 8 municipios del Departamento de Risaralda (Apia, Balboa, La Celia, Belén, Guática, Marsella, Santuario, Pueblo Rico).</t>
  </si>
  <si>
    <t>Al mes de marzo se realizó el procesamiento de información secundaria relacionada con temas de población, del Sistema de Identificación de Potenciales Beneficiarios de Programas Sociales, en los 100 municipios priorizados y, para 11 de los 100 municipios priorizados, se efectuó el análisis de información del contexto legal, procesos biofísicos, de ocupación y apropiación del territorio y, generación de la cartografía básica. Así mismo, se finalizó la caracterización territorial del municipio de Gámeza, Boyacá.</t>
  </si>
  <si>
    <t>Al mes de marzo se continúa con la programación del proceso de actualización catastral que se va a adelantar en el 2020; con base en esta programación, se definirá el área de municipios PDET a intervenir en la presente vigencia.</t>
  </si>
  <si>
    <t>Se finalizó el desarrollo del servicio web de consulta hacia la base de datos del Sistema Nacional Catastral. Se realizaron pruebas de creación del archivo de entrada y salida para que sea posteriormente procesada en el sistema de gestión catastral cobol y presentada en formato. Se Desarrolló el servicio web de consulta hacia el Sistema de Gestión Catastral COBOL. Se presentó el diseño de componentes que se fortalecerán para el Sistema Nacional Catastral.</t>
  </si>
  <si>
    <t>En el mes de marzo se aplicó el procedimiento previsto para la habilitación de gestores catastrales y se llevaron a cabo las siguientes actividades:
- Revisión de completitud: municipios de Soacha, Rionegro y Valle de Aburra
- Expedición del acta de inicio del procedimiento de habilitación del Área Metropolitana de Barranquilla
- Expedición de la resolución de habilitación de la Asociación de Municipios del Altiplano del Oriente Antioqueño – MASORA del Departamento de Antioquia
- Elaboración de la propuesta de regulación de la fase de empalme y especificaciones de las condiciones de habilitación.
El 30 de enero de 2020, se notificó la representante legal de la Gobernación del Valle del Cauca, de la Resolución 1546 de 2019, la cual habilita ese Departamento como gestor catastral.</t>
  </si>
  <si>
    <t>En el mes de marzo se realizó monitoreo de los links dispuestos en el Portal Geográfico Nacional - PGN de 185 geoservicios validando su funcionalidad y disposición, esta actividad se realizó con el siguiente procedimiento: Se partió de una línea base de 185 geoservicios, sobre los cuales se desarrolló método estadístico de muestreo. Así mismo se inició la gestión para validar nuevos geoservicios para el mes de abril.</t>
  </si>
  <si>
    <t>INDICADORES DEL PLAN NACIONAL DE DESARROLLO "PACTO POR COLOMBIA, PACTO POR LA EQUIDAD" 2019-2022
Instituto Geográfico Agustín Codazzi – IGAC</t>
  </si>
  <si>
    <t>Oficina de Informática y Telecomunicaciones</t>
  </si>
  <si>
    <t>Porcentaje de implementación del programa marco de operación del sistema de información Geográfico -SIG (SIG Indigena)</t>
  </si>
  <si>
    <t>El  IGAC, de conformidad con sus competencias aporta al programa marco de operación, mediante el diseño, desarrollo e implementación de un sistema de información geográfica Indígena, del cual se liberó la primera versión durante la vigencia 2018, siendo objeto de la vigencia 2019 la atención de soportes a las funcionalidades existentes.  Durante las vigencias 2018-2019, el IGAC en comunicación y coordinación con la Comisión Nacional de Territorios Indígenas, puso en marcha este Sistema de Información Geográfica el cual reposa en la plataforma tecnológica del IGAC. Dicha herramienta fue diseñada y construida con el fin de brindar una herramienta tecnológica para la consulta de información geográfica de importancia para las comunidades indígenas del territorio nacional.</t>
  </si>
  <si>
    <t>Al mes de marzo se elaboraron las condiciones de contratación para el personal que desarrollará las actividades programadas para el Sistema de Información Geográfico -SIG (indigena) y se realizó la revisión de hojas de vida del personal requerido.</t>
  </si>
  <si>
    <t>Avance cuantitativo a marzo de 2020</t>
  </si>
  <si>
    <t>Avance cualitativo a marzo</t>
  </si>
  <si>
    <t>Avance cuantitativo a abril de 2020</t>
  </si>
  <si>
    <t>% de avance de meta a abril de 2020</t>
  </si>
  <si>
    <t>Avance cualitativo a abril</t>
  </si>
  <si>
    <t>En el mes de abril se realizó monitoreo de los links dispuestos en el Portal Geográfico Nacional - PGN de los 185 geoservicios disponibles y publicados, validando su funcionalidad y disposición; así mismo se encontró que 136 geoservicios están totalmente operando y 41 parcialmente activos (del conjunto de URL para un servicio algunas están fallando), es decir, 177 están operando y 8 están fuera de servicio. Por tal razón, se proyectará en el mes de mayo comunicación sobre las fallas de los geoservicios a las entidades responsables de la disposición de los mismos. De igual forma se adelantó la identificación de nuevos geoservicios de diferentes entidades que pueden ser incorporados al Portal Geográfico Nacional para el mes de mayo</t>
  </si>
  <si>
    <t>En el mes de Abril se habilitó como gestor catastral el municipio de Soacha - Cundinamarca y se trabajó en conjunto con la Secretaría General y la Oficina de Tecnología en los ajustes al proyecto de resolución de inicio de operación de gestores catastrales, de acuerdo con lo ordenado en el Decreto 148 de 2020. Así mismo, se definió cronograma de empalme para la entrega de la gestión catastral de Catastro Antioquia a los Municipios Asociados del Altiplano del Oriente - Masora y se continúa prestando asesoría permanente a los municipios y asociaciones que se encuentran en proceso de habilitación, tales como el Área Metropolitana de Barranquilla, Rionegro, Sesquilé, Valle de Aburrá, entre otros.</t>
  </si>
  <si>
    <t>Se realizaron actividades relacionadas con la verificación por medio de pruebas del sistema de información de habilitación catastral para su publicación en producción y la especificación de requerimientos por medio del manual de procedimiento (Habilitación Gestores Catastrales).</t>
  </si>
  <si>
    <t>En el mes de abril, se continúo con la búsqueda y procesamiento de información secundaria relacionada con temas de población, áreas protegidas, actividades económicas e infraestructura para los 100 municipios priorizados. Para los municipios de Risaralda, se efectuó el procesamiento y análisis de información secundaria relacionada con el contexto legal, los procesos biofísicos y relaciones ambientales, de ocupación y apropiación del territorio y condiciones socioeconómicas. Así mismo, se finalizó la caracterización territorial de los municipios de Socha y Socotá, Boyacá, correspondiente a 75.374 ha.</t>
  </si>
  <si>
    <t>En el mes de abril, se generaron 34.421,34 ha de ortoimágenes del municipio de María la Baja, Boyacá. Se aerotriangularon 96.969 ha del municipio de Río Blanco y la zona del tablazo, y se restituyeron 4.688 ha de esta última zona. Asi mismo, se realizó la edición del Modelo Digital de Superficie en la zona limítrofe de Amazonas correspondiente a 900.000 ha aprox y, se gestionaron con la Fuerza Aérea Colombiana 223.500 ha con cubrimiento parcial de 24 municipios.</t>
  </si>
  <si>
    <t>Finalizado 2020, el país debe contar con el 20,1% del área geográfica actualizada, equivalente 22.933.417 ha. de las cuales se tienen previstas actualizar 7.512.863 ha., correspondiente al 33% de la meta, entre el IGAC y los gestores habilitados. Adicionalmente, se está gestionando la suscripción de contratos para procesos de actualización, con municipios que han manifestado interés de adelantar el proceso con el IGAC, para esta vigencia. Actualmente hay 126 municipios interesados, cuya área corresponde a 6.663.162 Ha.; de acuerdo a los contratos que sean suscritos, se podrá reportar mayor área actualizada catastralmente en la vigencia. Durante el mes de abril, para llevar a cabo la actualización catastral de los 9 municipios que realizará el IGAC (8 Risaralda y Cumaribo), se trabajó en la preparación de insumos tanto cartográficos como de fuentes secundarias (Superintendencia de Notariado y Registro - SNR, licencias de construcción, Esquema de Ordenamiento Territorial, estratificación, servicios públicos etc.) que permitan identificar cambios en los territorios y focalizar las estrategias de reconocimiento predial.</t>
  </si>
  <si>
    <t>Los 170 municipios PDET cuentan con un total de 39.084.775,05 ha. de área de terreno; para el 2020, se están preparando los insumos requeridos para la actualización catastral de 10 municipios que aportan 999.718 ha., equivalentes al 3% de meta. El levantamiento catastral de estos municipios se prevé iniciar en el segundo semestre del año por parte de la ANT.</t>
  </si>
  <si>
    <t xml:space="preserve">En el mes de abril se realizó la presentación del estado actual del SIG_INDIGENA, a  los delegados de cada entidad involucrada dentro de las mesas de trabajo de temas indígenas.
Así mismo se realizó ajustes al plan de gestión y cronograma de actividades preliminar para la ejecución de las etapas de planificación y análisis de funcionalidades del SIG_INDIGENA.
</t>
  </si>
  <si>
    <t>PROYECTO DE INVERSIÓN ASOCIADO</t>
  </si>
  <si>
    <t>Levantamiento, generación y actualización de la red geodésica y la cartografía básica a nivel Nacional</t>
  </si>
  <si>
    <t>Actualización y gestión catastral Nacional</t>
  </si>
  <si>
    <t>Generación de estudios geográficos e investigaciones para la caracterización, análisis y delimitación geográfica del territorio Nacional</t>
  </si>
  <si>
    <t xml:space="preserve">*Actualización y gestión catastral Nacional
*Fortalecimiento de la gestión institucional del IGAC a nivel Nacional </t>
  </si>
  <si>
    <t>Fortalecimiento de la gestión del conocimiento y la innovación en el ámbito geográfico del territorio Nacional</t>
  </si>
  <si>
    <t>68.457.962 ha</t>
  </si>
  <si>
    <t>39.084.775,05 Ha</t>
  </si>
  <si>
    <t>100%
*NUPRE
*Interrelación catastro-registro
* Ajustes CICA</t>
  </si>
  <si>
    <t>Avance cuantitativo a mayo de 2020</t>
  </si>
  <si>
    <t>% de avance de meta a mayo de 2020</t>
  </si>
  <si>
    <t>Avance cualitativo a mayo</t>
  </si>
  <si>
    <t>Acuerdos MPC</t>
  </si>
  <si>
    <t xml:space="preserve">En el mes de mayo,  se generó Ortofotomosaico parcial para 67.016 ha (32,77%) del municipio de Rioblanco (Tolima) y se aerotriangularon 64.304 ha (63%) del municipio de Ataco (Tolima). Asi mismo, se gestionaron e incorporaron al Banco Nacional de Imágenes 16.000 ha aprox del municipio de Chaparral (Tolima) gestionadas con la Fuerza Aérea Colombiana; 3.376,47 ha (ortofotomosaicos) de 6 municipios de Risaralda (Balboa, Belen de umbria, Marsella, la Celia, Apia, Santuario) gestionadas con la Federación Nacional de Cafeteros y, con el avion del IGAC se tomaron 1.829 ha del municipio de la Plata (Huila). </t>
  </si>
  <si>
    <t>En el mes de mayo se realizaron gestiones solicitando reunión a la Comisión Nacional de Territorios Indígenas para discutir, concertar y aprobar el plan de gestión y cronograma de actividades preliminar de la ejecución de transferencia de conocimiento para la apropiación de la aplicación en los territorios indígenas, soporte al correcto funcionamiento del Sistema y análisis de las nuevas funcionalidades para el Sistema de Información Geográfica SIG_INDIGENA, a la fecha no se ha recibido respuesta por parte de la Comisión Nacional de Territorios Indígenas para el desarrollo de dicha reunión.</t>
  </si>
  <si>
    <t>* Se elaboró el documento de asignación de NUPRE
* Se puso en producción de servicio de consulta de propietarios por parte de la SNR, y Consulta de información de los predios por parte del IGAC
 *Se realizaron las especificaciones de CICA ajustado a LADM_COL
* Se implementaron los ETL de extracción COBOL /SNC requerido para la generación de insumos en el estándar LADM_COL
*Se realizaron pruebas de generación de insumos en formato XTF</t>
  </si>
  <si>
    <t>Para el mes de mayo se continuó con el procesamiento de la información secundaria del segundo grupo de 11 muncipios de los 100 municipios priorizados y, se continuo con el procesamiento para los restantes 78 municipios, relacionada con cada uno de los procesos geográficos. Así mismo, se finalizó la caracterización territorial de los  municipios de Tasco, Sativasur, Betéitiva, y Cerinza (Boyacá)., correspondiente  a 43.006,22 ha.</t>
  </si>
  <si>
    <t xml:space="preserve">En el mes de mayo se realizó el monitoreo de los links dispuestos en el Portal Geográfico Nacional-PGN validando las funcionalidad y disposición de 185 geoservicios disponibles y publicados. Se encontró que 153 geoservicios están totalmente operando y 23 parcialmente activos (del conjunto de URL para un servicio algunas están fallando), es decir, 176 están operando y 9 están fuera de servicio.
Por tal razón, se proyectará en el mes de junio comunicación sobre las fallas en los geoservicios a las entidades responsables de la disposición de los mismos.
Así mismo, las entidades presentaron mejoras en la disponibilidad de los geoservicios que se encontraban fallando en el mes de abril.
Por otra parte, se adelantó la identificación de nuevos geoservicios de diferentes entidades que serán incorporados al PGN. En el mes de mayo no se realizó el cargué de geoservicios nuevos, por ajustes en procedimientos de carga a la plataforma, estos serán cargados en el mes de junio para poner la meta al día.
</t>
  </si>
  <si>
    <t xml:space="preserve">Se expidió la Resolución de desistimiento de Rionegro ante su solicitud de habitación, resolución de aclaración frente a la habilitación del Departamento de Valle de Cauca y de modificación de inicio del Área Metropolitana de Barranquilla. Se recibieron las solicitudes de habilitación de los municipios de Planeta rica, Santa Marta y Gobernación de Cundinamarca y actualmente se encuentran en análisis de cumplimiento de requisitos. Se adelantaron las actividades previstas en el cronograma de empalme con el municipio de Soacha y se realizó el seguimiento semanal al cronograma de empalme entre Catastro Antioquia y los Municipios Asociados del Altiplano del Oriente - Masora.
</t>
  </si>
  <si>
    <t>Los 170 municipios PDET cuentan con un total de 39.084.775,05 Ha de área de terreno; para el 2020, se están preparando los insumos requeridos para la actualización catastral de 10 municipios que aportan 999.718 Ha, equivalentes al 3% de meta. El levantamiento catastral de estos municipios se prevé iniciar en el segundo semestre del año por parte de la ANT.</t>
  </si>
  <si>
    <t>Finalizado 2020, el país debe contar con el 20,1% del área geográfica actualizada, equivalente 22.933.417 ha. de las cuales se tienen previstas actualizar 7.512.863 ha., correspondiente al 33% de la meta, entre el IGAC y los gestores habilitados. Adicionalmente, se está gestionando la suscripción de contratos para procesos de actualización, con municipios que han manifestado interés de adelantar el proceso con el IGAC, para esta vigencia. Actualmente hay 192 municipios interesados, cuya área corresponde a 11.135.222 Ha.; de acuerdo a los contratos que sean suscritos, se podrá reportar mayor área actualizada catastralmente en la vigencia. Durante el mes de mayo, se avanzó en la contratación de personal que llevará a cabo el proceso de actualización en los 8 municipios de Risaralda, así como con el levantamiento de los tableros de control de las actividades que realizaran. Se definió la sede de operación, las necesidades logísticas y en cuanto al tema técnico, se continuó con la consecución y cruce de las fuentes de información secundaria. En cuanto a la actualización de Cumaribo, se realizó el levantamiento de necesidades de recurso humano, logístico y demás, se identificó el requerimiento de fuentes de información secundaria faltante y se elaboró el cronograma de operación. Se realizó la revisión del documento Guía Metodológica para el levantamiento Catastral de Territorios Colectivos.</t>
  </si>
  <si>
    <t>Flujo.
Los resultados de un año, no se acumulan con los del siguiente. En este caso, se brinda mayor importancia al avance que se obtenga en el último año del cuatrienio</t>
  </si>
  <si>
    <t>Capacidad
Toma en cuenta la línea de base (descuenta lo que ya se ha hecho antes de iniciar el período). Centra su atención en la medición del avance entre el punto de partida (línea base) y el punto esperado de llegada (meta).
Los resultados de un año se acumulan con los del siguiente año</t>
  </si>
  <si>
    <t>Acumulado.
Mide los avances de un periodo, y para el siguiente incluye (o suma) los avances obtenidos en periodos anteriores</t>
  </si>
  <si>
    <t>TIPO DE INDICADOR (SEGÚN SINERGIA)</t>
  </si>
  <si>
    <t>Meta (%)</t>
  </si>
  <si>
    <t>Meta física 2020</t>
  </si>
  <si>
    <t>Avance cuantitativo a junio de 2020</t>
  </si>
  <si>
    <t>% de avance de meta a junio de 2020</t>
  </si>
  <si>
    <t>Avance cualitativo a junio</t>
  </si>
  <si>
    <t>Meta 2020</t>
  </si>
  <si>
    <t>Oficina de Informática</t>
  </si>
  <si>
    <t xml:space="preserve">Al mes de junio de 2020 se generaron un total de 102.037,34 ha, asi: 34.421,34 ha de ortoimágenes del municipio de María la Baja, Bolívar, y el mosaico definitivo, Modelo Digital de Terreno y Cartografía Básica de 67.616 ha (32,77%) del municipio Rio Blanco Tolima. 
Así mismo, se finalizó la edición de los vectores que conforman la cartografía básica de 102.964 ha pertenecientes a los municipios de Córdoba y Mahates, y se aerotriangularon 96.969 ha del municipio de Río Blanco y la zona del tablazo, 64.304 ha (63%) del municipio de Ataco (Tolima), 31.160 ha (33,9%) del municipio de Valencia(Cauca) y 439 Ha cabecera municipal de Caceres- Antioquia. De otra parte, se gestionaron insumos cartográficos con la FAC de 16.000 ha aprox del municipio de Chaparral (Tolima), 223.500 ha con cubrimiento parcial de 24 municipios y 557.212 ha de imágenes ADS para 7 municipios; con la Federación Nacional de Cafeteros  3.376,47 ha (ortofotomosaicos) de 6 municipios de Risaralda (Balboa, Belén de umbria, Marsella, la Celia, Apia, Santuario); 435.891 ha Policia Nacional para 3 Municipios, con el avion del IGAC se tomaron 599,120 ha de 21 municipios y, se hizo captura con rpas(dron) de  1.536 ha para 11 Municipios.
Adicionalmente, se realizó la validación de la base de datos rural (73.000 has.) del municipio de Monterrey, Casanare.
</t>
  </si>
  <si>
    <t>El avance cuantitativo se reportará a finales de enero de 2021, momento en el cual se contará con la información de los catastros habilitados y entrará en vigencia la actualización catastral del área del país intervenida en el 2020. 
Aunque se continúa adelantando la programación del proceso de actualización catastral para la vigencia 2020 a nivel nacional, se está avanzando en la fase de alistamiento del proceso de actualización catastral del área rural del municipio de Cumaribo y el área urbana de 8 municipios del Departamento de Risaralda (Apia, Balboa, La Celia, Belén, Guática, Marsella, Santuario, Pueblo Rico).
Adicionalmente, se está gestionando la suscripción de contratos para procesos de actualización, con municipios que han manifestado interés de adelantar el proceso con el IGAC, para esta vigencia. Actualmente hay 192 municipios interesados, cuya área corresponde a 11.135.222 Ha.; de acuerdo a los contratos que sean suscritos, se podrá reportar mayor área actualizada catastralmente en la vigencia.
*Risaralda: Dinámica inmobiliaria identificada. 275 predios reconocidos.
*Cumaribo: Unidades de Intervención definidas, inicia seguimiento con el Ministerio del Interior a compromisos de consulta previa, avanza la contratación de recursos requeridos.
Se avanza en suscripción de convenios con los municipios de Tenjo y Ricaurte-Cundinamarca.</t>
  </si>
  <si>
    <t xml:space="preserve">Para el mes de junio, se finalizó la caracterización territorial de los municipios de Mahates, María La Baja (Bolívar), Morales y Piendamó (Cauca), correspondiente a 168.576 ha. Asi mismo, se continuó con el procesamiento de la información secundaria de algunos municipios de Risaralda y, parte de los municipios de Cauca y Bolívar, de los 100 municipios priorizados </t>
  </si>
  <si>
    <t>Con relación  a la definición del protocolo de asignación de un identificador único para los predios formales e informales del territorio nacional NUPRE (Número Único Predial) , desde el IGAC se plantea que la estructura a implementar sea la misma desarrollada por la UAECD (Unidad Administrativa Especial de Catastro Distrital) con su CHIP (Código Homologado de Identificación Predial) para ser implementado en el Sistema Nacional Catastral. En este sentido, se realizó una  reunión entre las partes para dar inicio a la definición del acuerdo y política para el uso del código en mención.
En cuanto a la interrelación Catastro Registro (Webservice) se habilitó  el  servicio de consulta de la información registral por parte de la SNR (Superintendencia de Notariado y Registro) el  cual contiene  como parámetro de consulta el folio de matrícula. Adicionalmente, se implementó una funcionalidad Web que permitirá el uso y visualización  de la  información expuesta por dicho servicio a las direcciones territoriales del IGAC con el objetivo de validar la información que está siendo radicada por un ciudadano y la que se encuentra publicada en los sistemas  de la SNR (Superintendencia de Notariado y Registro),  mejorando de esto modo la calidad de la información que ingresa a los sistemas del IGAC. 
Asi mismo, se publicó el servicio Web del Servicio Predial, el cual contiene como parámetro de consulta el Folio de Matrícula  y se publicó en el servidor X-ROAD (software definido por el gobierno nacional para implementar los procesos de interoperabilidad) para el uso de la SNR. Frente al proceso de cruce,  se dispusieron  a través de FTP ( Directorio expuesto en internet) archivos XML distribuidos por municipio  enviados por la SNR (Superintendencia de Notariado y Registro) y se procesaron e ingresaron en base de datos  5.457.759 matrículas. Se ejeuctó el cruce entre la información enviada por SNR y  el IGAC  para las variables de número predial, circulo y matrícula.
De igual manera, se realizó la capacitación y entrega de la primera versión del aplicativo CICA  (Captura de Información Catastral de Actualización) para inicio de la captura en campo de los municipios de Risaralda y se realizaron pruebas de generación de insumos en formato XTF.</t>
  </si>
  <si>
    <t>A junio de 2020 se cuenta con la habilitación de 3 Gestores Catastrales nuevos, los cuales se suman a los 8 gestores de la vigencia 2019.
*MASORA. Resolucion_307_2020
 *Municipio de SOACHA. Resolución 377 2-04-2020 SOACHA
 *Area Metropolitana de Barranquilla - AMB". Resolucion No. 602 del 25-06-2020
 Adicionalmente se revisaron las solicitudes de Habilitacion como Gestores Catastrales de Fusagasuga y de la Gobernacion de Cundinamarca, emitiendo para esta ultima la Resolucion No. 585 del 23-06-2020, " Por medio de la cual se da inicio al tramite de habilitacion como gestor catastral al Departamento de Cundinamarca". 
Se atendieron solicitudes de prorroga para Distrito de Santa Marta, Municipios de Sesquilé y Planeta Rica.
Por ultimo, se atendio la solicitud de exclusion del municipio de Palmira- Valle del Cauca, mediante resolucion Resolucion No. 609 del 30-06-2020 " Por medio de la cual se aclara la Resolucion No. 444 de 6 de mayo del 2020".</t>
  </si>
  <si>
    <t>Al 30 de Junio del año 2020 se realizó monitoreo automático de los geoservicios del Portal Geográfico Nacional mediante la herramienta libre GeoHealthCheck optimizando el seguimiento de 185 geoservicios, los cuales se encuentran plenamente operando. 
Así mismo se realizó la incorporación de 15 geoservicios nuevos en el Portal Geográfico Nacional, para un total de 200 geoservicios, publicados y disponibles. Los 200 geoservicios se componen de 586 URL que están funcionando plenamente.
Por otra parte, se destaca que debido a la implementación de la herramienta GeoHealthCheck se automatizó el proceso de monitoreo de los geoservicios; con esta herramienta se ha logrado optimizar los tiempos en la revisión de cada una de las URL que compone cada geoservicio verificando su funcionamiento, así mismo la herramienta reporta en tiempo real cuando un geoservicio presenta problemas o se encuentra sin conexión, por lo que se ha logrado agilizar las gestiones pertinentes con las entidades productoras de información geográfica para que revisen y activen aquellos geoservicios que presentan fallas. De igual forma la herramienta genera un porcentaje de confiabilidad y permite la clasificación de los geoservicios por diferentes variables.</t>
  </si>
  <si>
    <t>En el mes de junio se realizaron pruebas funcionales al sistema que se encuentra en producción y se elaboró el informe de incidencias encontradas, para realizar los respectivos ajustes a nivel de desarrollo del visor geográfico.
Así mismo se gestionó nuevamente solicitud para adelantar reunión con la Comisión Nacional de Territorios Indígenas para realizar las actividades de levantamiento de información e insumos para determinar las nuevas funcionalidades que se quiere desarrollar en el SIG_INDIGENA. A la fecha no se ha recibido definición de fecha por parte de la Comisión Nacional de Territorios Indígenas para el desarrollo de dicha reunión.</t>
  </si>
  <si>
    <t>META FÍSICA CUATRIENIO</t>
  </si>
  <si>
    <t>META CUATRIENIO PND</t>
  </si>
  <si>
    <t>Avance cuantitativo a julio de 2020</t>
  </si>
  <si>
    <t>% de avance de meta a julio de 2020</t>
  </si>
  <si>
    <t>Se revisaron los ajustes de las propuestas de Habilitación de Valle de Aburrá y del municipio de Fusagasugá, validando el cumplimiento de las condiciones jurídicas, técnicas, económicas y financieras. Por lo anterior, se dió inicio al trámite al inicio del proceso de habilitación tanto al Valle de Aburrá mediante Resolución 675/2020 y para el municipio de Fusagasugá mediante Resolución 720/2020.
Se revisaron las Propuestas de Habilitación de Sesquilé-Cundinamarca, Rionegro-Antioquia y Distrito de Santa Marta, para lo cual fue necesario realizar requerimientos correspondientes.
Se emitió respuesta al municipio de Ibagué-Tolima, frente a su interés de Habilitación como Gestor Catastral.
Se realizaron asesorías mediante videoconferencias, con los municipios de la Dorada- Caldas, Sesquilé y Fusagasugá/Cundinamarca, y con el Distrito de Santa Marta.</t>
  </si>
  <si>
    <t>El avance cuantitativo se reportará en enero de 21, cuando entre en vigencia la formación información del área intervenida para la vigencia 2020. No obstante, se reporta el siguiente avance cualitativo para el mes de julio:
Risaralda: Se realizó el reconocimiento de 1.244 predios.
Cumaribo:Se completó la logística del primer 1er grupo de reconocedores quienes adelantarán la captura e informaciín en campo (líderes,  profesionales sociales, editores). Así mismo, se definió  el  plan de intervención de la primera 1era fase de formación.</t>
  </si>
  <si>
    <t xml:space="preserve">En el mes de Julio,  se generó el mosaico definitivo, Modelo Digital de Terreno y Cartografía Básica de 101.533 Ha del municipio de Ataco (Tolima); el mosaico para 305.095 ha correspondientes a una parte del municipio de Cesar y Magdalena; el mosaico para 31.446 ha del municipio de La Plata (Huila); se estructuró la Cartografía Básica de 141.266 ha de los municipios de El Guamo, Córdoba y Mahates; se realizó la edición del modelo digital de elevación de 1.045.800 ha cubriendo parcialmente los municipios de Necoclí, San Juan de Urabá, Arboletes(Antioquia) y Los Córdoba, Monteria (Córdoba) y, se validó la base de datos, modelo digital de terreno y ortofotomosaico del municipio de Monterrey (Casanare), zona rural 72.624 ha escala 1:10.000 y zona urbana 5.574,51 ha escala 1:2.000.  
Para un total en el mes de 1.703.338,51 ha generadas o actualizadas de productos cartográficos y, un acumulado a la fecha de 1.805.376 ha. 
Asi mismo, se tomaron 105 puntos de control terrestre para cartografía urbana en 9 centros poblados de 7 municipios del departamento de Risaralda y 7 municipios en el departamento de Boyacá,  se aerotriangularón 230 ha para cartografía urbana de 5 municipios en el departamento de Boyacá y 2  municipios del departamento de Risaralda y se gestionaron un total de 297.572,8 ha insumos cartográficos con la Policia Nacional y la Unidad  Nacional de Gestión del Riesgo y Desastres-UNGRD de municipios de los departamentos de Nariño, Cauca, Santander, Bolivar y Cundianmarca. </t>
  </si>
  <si>
    <t>Se finalizó la caracterización territorial de los municipios Marsella, Guática, Santuario, Balboa, Belén de Umbría, La Celia, Pueblo Rico y Apia (Risaralda),  San Carlos (Antioquia) y Cumaribo (Vichada), correspondiente a 6.815.600 ha, para un total acumulado a la fecha de veintiún (21) caracterizaciones territoriales correspondiente a 7.114.924,22 ha.
Así mismo, se avanzó en la búsqueda, recopilación y procesamiento de información secundaria relacionada con los temas de: veredas, proceso de ocupación, población, áreas protegidas, cuencas, actividades económicas, infraestructura, actores sociales, proyectos productivos, determinantes y condicionantes del ordenamiento territorial entre otros, para los 100 municipios priorizados.</t>
  </si>
  <si>
    <t xml:space="preserve">En el marco de la  implementación del NUPRE  (Número Único Predial) dentro  del SNC (Sistema Nacional Catastral),  se documentó la historia de usuario para la implementación de la solución requerida. 
En cuanto a la interrelación Catastro - Registro, se realizó la entrega de los archivos con la información registral por parte de la Superintendencia de Notariado y Registro (SNR) relacionada con el grupo de 79 municipios que serán sujetos a procesos de actualización en el marco de la estrategia de Catastro Multipropósito y se procesaron en las bases de datos del IGAC. Se cruzó la información de SNR -IGAC y se reportaron los resultados de cruce.
</t>
  </si>
  <si>
    <t>En el mes de Julio se realizó la actualización del cronograma de actividades planeado, esto de acuerdo con las observaciones manifestadas en el primer comité técnico realizado con la Comisión Nacional de Territorios Indígenas - CNTI.
De igual forma, en la etapa de análisis se realizó la primera jornada de levantamiento de requerimientos para el desarrollo de las nuevas funcionalidades de la fase II del SIG Indígena.
En la etapa de soporte del SIG Indígena, se realizó la actualización de los servicios web geográficos de la funcionalidad “Cambiar Mapa Base”, que estaba apuntando a servicios públicos que hoy no están funcionando. Así mismo se revisaron otros servicios web geográficos con el objeto de optimizar su funcionamiento actual.
Adicionalmente durante el mes de julio se presentó el SIG-Indígenas, sus funcionalidades y alcance a la Consejería Presidencial para la Gestión y Cumplimiento.</t>
  </si>
  <si>
    <t>En el mes de julio se realizó monitoreo automático de los geoservicios del Portal Geográfico Nacional mediante la herramienta libre GeoHealthCheck optimizando el seguimiento de 200 geoservicios, los cuales se encuentran plenamente operando. Así mismo se realizó la incorporación de 15 geoservicios nuevos en el Portal Geográfico Nacional, suministrados por el Departamento Administrativo Nacional de Estadística - DANE y se reactivaron 3 geoservicios que ya se encontraban vinculados en el Portal Geográfico Nacional, esto para un total de 218 geoservicios, los cuales se encuentran plenamente operando. Durante este mes también se realizó la consolidación de la información de los geoservicios disponibles a través de la ICDE y su clasificación por temáticas establecidas para el cargue en el portal del IGAC. Por otra parte, se realizaron permanentemente gestiones de comunicación con las entidades productoras de los recursos geográficos, para mantener la activación de los geoservicios dispuestos en el Portal Geográfico Nacional.</t>
  </si>
  <si>
    <t>Avance cualitativo a julio</t>
  </si>
  <si>
    <t>Avance cualitativo a agosto</t>
  </si>
  <si>
    <t>% de avance de meta a agosto de 2020</t>
  </si>
  <si>
    <t>Avance cuantitativo a agosto 2020</t>
  </si>
  <si>
    <t>En el mes de agosto se realizó monitoreo automático de los geoservicios del Portal Geográfico Nacional mediante la herramienta libre GeoHealthCheck optimizando el seguimiento de 218 geoservicios, los cuales se encuentran plenamente operando. 
Así mismo se realizó la incorporación de 20 geoservicios nuevos en el Portal Geográfico Nacional suministrados por diferentes entidades, de igual forma se reactivaron 2 geoservicios que ya se encontraban vinculados en el Portal Geográfico Nacional, esto para un total de 240 geoservicios, los cuales se encuentran plenamente operando. 
Por otra parte, se realizaron permanentemente gestiones de comunicación con las entidades productoras de los recursos geográficos, para mantener la activación de los geoservicios dispuestos en el Portal Geográfico Nacional.</t>
  </si>
  <si>
    <t>Para el mes de agosto, se generaron ortoimágenes para 1.146.437,03 ha de los municipios de Cáceres (Antioquia) y Guática, Santuario y Belén de umbría (Risaralda), Ataco (Tolima), Valencia (Córdoba), Algarrobo (Magdalena), San Cristóbal y Turbaco (Bolivar), Piendamó, Tunia, Caldono, Santander De Quilichao, Caloto, Guachené, Padilla, Villa Rica, Puerto Tejada, Totoró, Jambaló, Silvia, Popayán (Cauca).Unguía (Chocó), San Carlos y Planeta Rica (Cordoba), Chía y Cajicá (Cundinamarca), Algarrobo (Magdalena). La Playa, Convención, San Calixto (Norte de Santander), Chalán y Sincelejo (Sucre); Modelo Digital del Terreno para 27.305,13 ha del municipio de Valencia (Córdoba) y Modelo digital de elevación de 1.740.600 ha en los departamentos de Meta y Cesar; Bases de datos vectoriales de 64.962,15 ha de 11 cabeceras municipales, Cáceres, Guática (Antioquia), Belén de humbría, Santuario, La Celia y Pueblo Rico (Risaralda), Tasco Socotá Sátiva Sur, Cerinza (Boyacá) y, 2 áreas ubicadas en los municipios rurales de Valencia (Córdoba) y el Tablazo (Cundinamarca. 
Para un total en el mes de 2.979.304,31 ha generadas o actualizadas de productos cartográficos y, un acumulado a la fecha de 4.784.680,16 ha.
Adicionalmente, se tomaron un total de 37 puntos de control terrestre, en los departamentos de Boyacá, Cauca y Risaralda; se gestionaron un total de 1.476.104,301 ha de insumos cartográficos con la Fuerza Aerea Colombiana de los departamentos de Antioquia y Meta, y, 243.676 ha en imágenes Rapideye donadas por la entidad Agrosavia. Así mismo, se realizó la primera inspección de ortofotomosaico y modelo digital de terreno de la cabecera municipal de Arauca (Arauca) correspondiente a 1.757 ha y ortofotomosaico de la Cabecera del municipio Pore (Casanare) correspondiente a 245 ha. 
De igual forma, se capturaron datos vectoriales de 146,774 ha sobre imágenes de satelite alta resolución, a escala 1:50.000 en los munIcipios de la cruz, remolino, sitio nuevo, sabanalarga, piñon y campo de la cruz (Magdalena).</t>
  </si>
  <si>
    <t>Se finalizó la caracterización territorial de los municipios de Busbanzá, Corrales, Floresta, Monguí y Tópaga (Boyacá), y Altos del Rosario, El Peñón, San Estanislao, San Juan Nepomuceno, Zambrano y Barranco de Loba (Bolívar), correspondiente a 248.003,28 ha, para un total acumulado a la fecha de treinta y dos (32) caracterizaciones territoriales correspondiente a 7.362.927,50 ha.
Asi mismo, se adelantó en la investigación, recopilación y procesamiento de información secundaria relacionada con los temas de: veredas, planes de desarrollo municipal, proceso de ocupación, población actual, resguardos indígenas, actores sociales, áreas protegidas, cuencas hidrográficas, actividades económicas, infraestructura, proyectos productivos, así como determinantes y condicionantes del ordenamiento territorial entre otros, para los 100 municipios priorizados. Se avanzó en la estructuración y elaboración de cartografía básica y temática de los municipios priorizados.</t>
  </si>
  <si>
    <t>El avance cuantitativo se reportará en ene/21, cuando entre en vigencia la información del área intervenida para la vigencia 2020. No obstante, se reporta el siguiente avance cualitativo para el mes de agosto:
Risaralda: Se avanza en el reconocimiento de 3.670 predios.
Cumaribo:Se inició el trabajo de campo primera fase de acuerdo a la programación anexa, para el reconocimiento de 628 mil Ha. Se abordó la socialización con los resguardos SANTA TERESITA DEL TUPARRO y SELVA DE MATAVEN y se configuró en la sede el componente tecnológico y el aplicativo CICA para reconocedores.</t>
  </si>
  <si>
    <t xml:space="preserve">Se emitió acto administrativo de Habilitación al Departamento de Cundinamarca, mediante Resolución 727 del 12 de agosto de 2020.
Se emitió acto administrativo de Habilitación al municipio de Fusagasugá, mediante Resolución 765 del 27 de agosto de 2020.
Una vez ajustadas las Propuestas de Habilitación del Distrito de Santa Marta y del municipio de San José de Cúcuta, se validó el cumplimiento de las condiciones jurídicas, técnicas, económicas y financieras, dando incio al trámite de Habilitación como Gestores Catastrales: mediante Resolución 729/2020 al Distrito de Santa Marta y por Resolución 751/2020  al municipio de San José de Cúcuta.
</t>
  </si>
  <si>
    <t>Se encuentran en proceso de selección y contratación  7 ingenieros encargados de apoyar las actividades de análisis y diseño del Sistema Nacional de Información de Catastro Multipropósito.</t>
  </si>
  <si>
    <t>En el mes de agosto se validó el plan de gestión y cronograma de actividades por parte de la Comisión Nacional de Territorios Indigenas - CNTI.
Se realizaron dos jornadas de levantamiento de requerimientos con la Comisión Nacional de Territorios Indigenas - CNTI y se definieron dos nuevas funcionalidades para el visor geográfico, se generaron los prototipos exploratorios para las dos funcionalidades definidas.
Por otra parte, se realizó la reunión de definición de temas para la capacitación de fundamentos de la información geográfica con los miembros de la Comisión Nacional de Territorios Indigenas - CNTI y se generó la primera versión de la capacitación.
Asi mismo, se realizó la instalación del sistema en la infraestructura suministrada por la Comisión Nacional de Territorios Indigenas - CNT y se realizó la entrega de la documentación existente de la fase I del proyecto, el sistema de información se ecuentra en pruebas de aceptación por parte de la CNT.</t>
  </si>
  <si>
    <t>Avance cuantitativo a septiembre 2020</t>
  </si>
  <si>
    <t>% de avance de meta a septiembre de 2020</t>
  </si>
  <si>
    <t>Avance cualitativo a septiembre</t>
  </si>
  <si>
    <t>Se continua con el  proceso de selección y contratación de  7 ingenieros encargados de apoyar las actividades de análisis y diseño del Sistema Nacional de Información de Catastro Multipropósito.</t>
  </si>
  <si>
    <t xml:space="preserve">En el mes de Septiembre se realizó el monitoreo automático de los geoservicios del Portal Geográfico Nacional mediante la herramienta libre GeoHealthCheck optimizando el seguimiento de 240 geoservicios, los cuales se encuentran plenamente operando. 
Así mismo , se realizó la incorporación de 16 geoservicios nuevos en el Portal Geográfico Nacional suministrados por diferentes entidades como la Unidad Administrativa Especial del Sistema de Parques Nacionales Naturales (UAEPNN), Unidad de Planificación Rural Agropecuaria (UPRA) y la Alcaldía de Medellín y se reactivaron 6 geoservicios que tenían problemas de operación desde el año 2019.
</t>
  </si>
  <si>
    <t xml:space="preserve">Para el mes de septiembre se generaron: ortoimágenes para 402.505,59 ha de los municipios de Betéitiva, Sativasur, Busbanzá, Cerinza, Socotá y Tasco (Boyacá); Balboa, La Celia, Pueblo Rico y Apia (Risaralda); Piendamó (Cauca); Zipaquirá y Tabio (Cundinamarca); Villamaría (Caldas); El Paso y Chiriguana (Cesar); Montecristo (Bolívar). Modelo Digital del Terreno para 18.134,00 ha con precisión para escala 1:10.000 localizadas en el municipio de Piendamó (Cauca) y Modelo Digital de Elevación de 801.900 ha correspondiente a La Guajira. Se estructuraron y editaron Bases de datos cartográficas de 30.040,21 ha de bases de datos vectoriales distribuidas de la siguiente forma: En Zona urbana 328,27 ha localizadas en los municipios de Santuario, Guatica, Balboa, La Celia, Pueblo Rico y Apia – Risaralda, y Sativasur, Buzabanza y Socota –Boyacà. Zona rural 29.711,94 ha localizadas en piendamó – Cauca y dos zonas del Municipio de la Plata- Huila.
Para un total en el mes de 1.252.579.80 ha generadas o actualizadas de productos cartográficos y, un acumulado a la fecha de 6.037.259,96 ha.
Adicionalmente, se levantaron un total de 60 puntos de control terrestre localizados en los departamentos de Bolívar, Antioquia y Tolima y, se capturaron datos vectoriales de 231.568,8 ha sobre imágenes de satelite de alta resolución, a escala 1:50.000 en los municipios de Algarrobo, Sabanas de San Angel, Chivolo y Pedraza (Magdalena).
De igual forma, se gestionaron 625,153 ha de insumos cartográficos con la FAC de los departamentos de Guaviare y Meta; 11.785.598 de ha en imágenes PLANET SCOPE donadas por la entidad Parques Nacionales Naturales de Colombia-PNN, y toma efectuada con Dron del IGAC de 4.226 ha departamentos de Risaralda, Cauca, Boyacá y Cundinamarca.
</t>
  </si>
  <si>
    <t>Se avanzó en la caracterización territorial de diez (10) municipios: Rioviejo y San Martín de Loba en el departamento de Bolívar; Palmito, Los Palmitos y San Onofre en Sucre, y Almaguer, Cajibio, Mercaderes, Piamonte y Sucre en Cauca, se adelantó en el análisis de POT para los mismos municipios.
A la fecha se continua con un total acumulado treinta y dos (32) caracterizaciones territoriales correspondiente a 7.362.927,50 ha.
Asi mismo, se avanzó en la investigación, recopilación y procesamiento de la información secundaria relacionada con las variables temáticas: veredas, barrios, planes de ordenamiento territorial, planes de desarrollo municipal, áreas protegidas, planes de cuencas hidrográficas, proceso de ocupación, población actual, resguardos indígenas, actores sociales, actividades económicas, empleo, infraestructura vial, proyectos productivos, así como determinantes y condicionantes del ordenamiento territorial, entre otras, para los municipios priorizados.</t>
  </si>
  <si>
    <t>El avance cuantitativo se reportará en ene/21, cuando entre en vigencia la información del área intervenida para la vigencia 2020. No obstante, se reporta el siguiente avance cualitativo a la fecha:
•El trabajo de campo en los municipios de Apía, Balboa, Belén de Umbría, Guática, La Ceja, Marsella, Puerto Rico y Santuario inició en junio y a la fecha se ha efectuado reconocimiento a 8.571 predios. 
•La actualización catastral de Cumaribo entró a la fase operativa, se ha realizado la recolección de información de 1,2 millones de hectáreas, correspondiente a 16 veredas, el Parque Nacional Natural el Tuparro y Resguardos Santa Teresita del Tuparro, Comunidad Cumariana (perteneciente al Resguardo Selva de Matavén), Muco Mayoragua, Merey, La Veraita y San Luis del Tomo.</t>
  </si>
  <si>
    <t>Los 170 municipios PDET cuentan con un total de 39.084.775,05 Ha de área de terreno; para el 2020, se están preparando los insumos requeridos para la actualización catastral de 10 municipios que aportan 999.718 Ha, equivalentes al 3% de meta. El levantamiento catastral de algunos de estos  municipios ya se inició con el trabajo de campo por parte de la ANT.</t>
  </si>
  <si>
    <t>Se emitió acto administrativo de Habilitación Distrito Santa Marta,  mediante Resolución 766 del 28 de agosto de 2020.
Se emitió acto administrativo de Habilitación al municipio de San José de Cúcuta, mediante Resolución 787 del 7 de septiembre de 2020.
Se emitió acto administrativo de Habilitación al Área Metropolitana del Valle de Aburra, mediante Resolución 800 del 15 de  septiembre de 2020.
De acuerdo con lo anterior, en septiembre se habilitaron 3 gestores catastrales, quedando a la fecha 16 gestores catastrales habilitados.</t>
  </si>
  <si>
    <t xml:space="preserve">En el mes de septiembre se generaron los casos de uso para las herramientas de “mi ubicación” y “ruteo” para ser implementados en el SIG-Indígenas.
Así mismo, se realizó reunión de levantamiento de requerimientos con el área de acuerdos de la Comisión Nacional de Territorios indigenas (CNTI) y se presentaron los posibles desarrollos que se podrían generar en el marco de la fase II del proyecto.
Por otra parte, se realizó reunión de seguimiento de actividades para el desarrollo del curso corto virtual propuesto para las comunidades indígenas y se generó el material de apoyo necesario para el desarrollo del curso
De igual forma, se generaron los casos de uso de los mapas temáticos e indicadores a ser desarrollados por el área de acuerdos de la Comisión Nacional de Territorios indigenas (CNTI). </t>
  </si>
  <si>
    <t>SEGUIMIENTO AÑO 2020</t>
  </si>
  <si>
    <t>Avance cuantitativo a octubre 2020</t>
  </si>
  <si>
    <t>% de avance de meta a octubre de 2020</t>
  </si>
  <si>
    <t>Avance cualitativo a octubre</t>
  </si>
  <si>
    <t>En el mes de octubre se avanzó en la actualización del documento de análisis para la fase II del proyecto SIG_Indigena y se realizó reunión de levantamiento de requerimientos para la definición del módulo de seguimiento a las solicitudes de constitución de resguardo realizadas por la Comisión Nacional de Territorios Indigneas - CNTI ante la Agencia Nacional de Tierras - ANT para incorporarlo en el SIG_Indigenas 
Así mismo, se actualizó la estructura académica para el curso de fundamentos de información geográfica para pueblos indígenas y se generó el cronograma de las temáticas que serán dictadas durante dicho curso.</t>
  </si>
  <si>
    <t>Durante el mes de octubre se generó la primera versión del Modelo de Aplicación SINIC bajo el estandar LADM COL, el cual hará la veces de  instrumento interoperable  y repositorio  que permite realizar seguimiento a la información catastral registrada y que se considerará oficial para todos los fines. Este contará con los criterios requeridos por la autoridad reguladora (IGAC) para ejercer sus funciones, teniendo en cuenta  el  Plan Nacional de Desarrollo 2018-2022 “Pacto por Colombia, pacto por la equidad”  que establece  que  “La custodia y gestión de la información catastral corresponde al Estado a través del Instituto Geográfico Agustín Codazzi -IGAC, quien promoverá su producción y difusión. La información generada por los gestores catastrales en ejercicio de sus funciones deberá ser registrada, en los términos y condiciones definidos por la autoridad reguladora, en el Sistema Nacional de Información Catastral-SINIC”.</t>
  </si>
  <si>
    <t>Los 170 municipios PDET cuentan con un total de 39.084.775,05 Ha de área de terreno, se trabajó en la generación de insumos de algunos de los PDET financiados y la ANT inició el trabajo en campo en: Rioblanco, Guamo, Córdoba, Fonseca y se tiene previsto iniciar próximamente en Ciénaga, San Juan del Cesar, Valencia y Ataco.</t>
  </si>
  <si>
    <t>Se emitió acto administrativo por medio del cual se da inicio al  trámite como gestor catastral al municipio de Rionegro - Antioquia,  mediante Resolución 879  del 13 de octubre de 2020.</t>
  </si>
  <si>
    <t>Para el mes de octubre se generaron ortoimágenes de 61.348,84 hectáreas (ha) de los municipios de Floresta, Corrales, Monguí, Marsella, Gámeza, Tópaga y Socha (Boyacá); San Clemente, Santa Ana y Guática (Risaralda); Ataco (Tolima); Gachancipá (Cundinamarca), y Valencia (Córdoba). Así mismo, se generó el Modelo Digital del Terreno para 64.864,18 hectáreas del municipio de Valencia (Córdoba) y Modelo Digital de Elevación de 1.186.200 hectárea localizadas en los departamentos de Meta y Guajira. Se estructuraron bases de datos vectoriales de 65.558,22 hectáreas de los municipios de Marsella, San Clemente (Risaralda), Beteitiva, Cerinza, Tasco, Floresta, Mongui, Gameza, Topaga  y Socha (Boyacá),  Ataco (Tolima) y del 64% restante del municipio de Valencia (Córdoba).
Para un total en el mes de 1.377.971,24 ha generadas o actualizadas de productos cartográficos para un acumulado a la fecha de 7.415.231,20 ha.
Adicionalmente, se capturaron 66 puntos de control terrestre localizados en los departamentos de Bolívar, Antioquia y Tolima; distribuidos en las cabeceras municipales de Sanjacinto, Mahates, María la baja, Carmen de Bolívar (Bolívar) y Átaco y Planadas (Tolima), y en zonas rurales de los municipios Rioblanco y Planadas (Tolima) y Cáceres (Antioquia).
De igual forma, se gestionaron 1.292.369 ha de insumos cartográficos con la  FAC de los departamentos de Guaviare, Arauca, Córdoba y Meta. Se realizó toma de fotografía aérea con Dron del IGAC de 5.547 ha de los departamentos de Cundinamarca y Bolívar; y toma efectuada con el Avión del IGAC de 890.456 ha de los departamentos de Cundinamarca, Tolima. Huila, Meta y Cauca.</t>
  </si>
  <si>
    <t xml:space="preserve">Se finalizó la caracterización territorial de diez (10) municipios: Rioviejo y San Martín de Loba en el departamento de Bolívar; Palmito, Los Palmitos y San Onofre en el departamento de Sucre, y Almaguer, Cajibio, Mercaderes, Piamonte y Sucre en el  departamento del Cauca, correspondiente a 543.080,68 ha, para un total acumulado a la fecha de cuarenta y dos (42) caracterizaciones territoriales correspondiente a 7.906.008,18 ha.
Asi mismo, se realizó el procesamiento de información por los ajustes en las variables de autorreconocimiento étnico y fuentes de contactos de los actores sociales, por requerimientos de especificidades solicitadas por el Banco Mundial y el Banco Interamericano de Desarrollo, para los municipios ya desarrollados.
De otro lado, se adelantó el documento de análisis de POT para los municipios de Guachené, Inza, Padilla, Santa Rosa y Florencia en el departamento de Cauca y Mocoa, San Miguel, Valle del Guamuez y Villagarzón en el departamento de Putumayo. Se continuó con la gestión y procesamiento de información de municipios priorizados, en donde se ha presentado una respuesta tardia por parte de los municipios de Villagarzón, San Miguel, Mocoa, San Miguel y Valle del Guamuez (departamento de Putumayo) en cuanto a los POTs, POMCA, veredas y barrios, generando un leve avance al programado. </t>
  </si>
  <si>
    <t>El avance cuantitativo se reportará en ene/21, cuando entre en vigencia la información del área intervenida para la vigencia 2020. No obstante, se reporta el siguiente avance cualitativo a la fecha:
• Respecto al trabajo de campo realizado en los municipios de Apía, Balboa, Belén de Umbría, Guática, La Ceja, Marsella, Puerto Rico y Santuario, a la fecha se ha efectuado reconocimiento a 12.228 predios y 405 hectáreas.  Se logró el cierre del componente físico con dato único de áreas: geográfico vs. Alfanumérico y la entrega de ortoimágenes y vectores a Alcaldías.
•En la actualización catastral de Cumaribo se ha realizado la recolección de información de 3,0 millones de hectáreas y 1.691 predios. Entre los principales logros se encuentran: Zona Sur terminada en su trabajo de campo, se inició la operación por vía fluvial, modelación método de la renta agropecuaria del suelo, se inició consulta previa resguardos no asistentes en 2018 y parcialmente en el municipio, operación desde Barrancominas, Guainía.</t>
  </si>
  <si>
    <t>En el mes de Octubre se realizó el monitoreo automático de los geoservicios del Portal Geográfico Nacional mediante la herramienta libre GeoHealthCheck optimizando el seguimiento de 262 geoservicios, los cuales se encuentran plenamente operando. 
Así mismo , se realizó la incorporación de 35 geoservicios nuevos en el Portal Geográfico Nacional correspondientes a las siguientes entidades: Área Metropolitana del Valle de Aburrá (AMVA) y del Instituto Amazónico de Investigaciones Científicas SINCHI, que sumaron al inventario 167 nuevas URL las cuales  ya fueron incorporadas al Portal de la ICDE.
Por otra parte, se realizó la  reactivación total de 5 geoservicios que se encontraban en operación parcial del año 2019.</t>
  </si>
  <si>
    <t>% de avance de meta a Noviembre de 2020</t>
  </si>
  <si>
    <t>Avance cualitativo a Noviembre</t>
  </si>
  <si>
    <t>Avance cuantitativo a Noviembre 2020</t>
  </si>
  <si>
    <t xml:space="preserve">En el mes de noviembre se realizó el monitoreo automático de los geoservicios del Portal Geográfico Nacional mediante la herramienta libre GeoHealthCheck optimizando el seguimiento de 302 geoservicios, de estos geoservicios se identifica que 292 geoservcios se encuentran operando plenamente  y 10 geoservicios  se encuentran operando parcialmente.
Así mismo, se realizó la incorporación de 21 nuevos geoservicios correspondientes a las siguientes entidades: CAR Cundinamarca, Corpoboyaca y la Gobernación de Antioquia, estos geoservicios sumaron al inventario 78 nuevas URL.
Por otra parte, se realizó la  reactivación de 12 geoservicios  de años anteriores, los cuales se encuentran operando parcialmente.
En total se tienen 335 geoservicios disponibles en el Portal Geografico Nacional de los cuales 313 geoservicios se encuentran operando plenamente y 22 geoservicios se encuentran operando parcialmente. </t>
  </si>
  <si>
    <t xml:space="preserve">En el mes de noviembre se finalizó la elaboración del documento de análisis, casos de uso y el documento de requerimientos para las nuevas funcionalidades que se desarrollarán para el  SIG Indígena en la vigencia 2021, estos documentos se encuentran en revisión y aprobación por parte de la Comisión Nacional de Territorios Indigenas - CNTI.
Así mismo se realizó con éxito el curso de fundamentos de la información geográfica para pueblos indígenas con la participación de 20 personas de diferentes comunidades indígenas y personal de la  Comisión Nacional de Territorios Indigneas - CNTI.
Por otra parte, se revisaron las incidencias reportadas por la Comisión Nacional de Territorios Indigenas - CNTI y se generó un plan de trabajo con el fin de atender las incidencias encontradas durante el mes de diciembre.
</t>
  </si>
  <si>
    <t>Con el objeto de dar a conocer la utilización adecuada de la herramienta y creación de usuarios para el proceso de actualización, se realizó la transferencia de conocimiento a la Agencia Nacional de Tierras y la Superintendencia de Notariado y Registro,  sobre la utilización del Sistema de Transición en el marco de la Modernización de la Administración de Tierras en Colombia.</t>
  </si>
  <si>
    <t>El avance cuantitativo se reportará en ene/21, cuando entre en vigencia la información del área intervenida para la vigencia 2020. No obstante, se reporta el siguiente avance cualitativo a la fecha:
* El trabajo de identificación predial finalizó en los municipios de La Celia, Balboa, Santuario y Marsella, los cuales junto con el avance en los demás municipios (Apia, Belén de Umbría, Guática, Pueblo Rico) suman 13.383 predios; los demás municipios (Apia, Belén de Umbría, Guática, Pueblo Rico) ya se encuentran en el proceso de consolidación. Adicionalmente, se cerró el estudio de zonas para la determinación del valor catastral de La Celia, Belén de Umbría y Guática.
* En lo que respecta a Cumaribo, se finalizó la identificación predial de 5,6 millones de Ha de las cuáles el 80% corresponde a Resguardos. Se avanza en el proceso de Consulta previa de 5 resguardos que se encuentran parcialmente localizados en el municipio. El estudio de zonas y modelamiento de valor potencial para la determinación del valor catastral se encuentra en fase final.</t>
  </si>
  <si>
    <t>Se emitió acto administrativo de Habilitación al Municipio de Rionegro-Antioquia, mediante Resolución 937 del 3 de  noviembre de 2020.
Se emitió acto administrativo por medio del cual se da inicio al  trámite como gestor catastral al municipio de Sesquilé-Cundinamarca,  mediante Resolución 977  del 19 de noviembre de 2020.
Se emitió acto administrativo por medio del cual se da inicio al  trámite como gestor catastral al municipio de Sincelejo-Sucre,  mediante Resolución 976  del 19 de noviembre de 2020.
De acuerdo con lo anterior, en noviembre se habilitó 1 gestor catastral, quedando a la fecha 17 gestores catastrales habilitados.</t>
  </si>
  <si>
    <t>Se generó un total de 502.820,64 ha de productos cartográficos en los departamentos de  Tolima, Cauca, Bolivar, Norte de Santander, Nariño, Caquetá, Cordoba; Cesar,  Cauca, así: ortoimágenes de 354.291,86 hectáreas, Modelo Digital del Terreno para 51.530 hectáreas y Bases de datos vectoriales de 96.998,78 hectáreas. 
Para un total en el mes de 502.820,64 ha generadas o actualizadas  de productos cartográficos para un acumulado a la fecha de 7.918.051,84 ha.
Asi mismo,  se realizó la Captura y/o evaluación de un total de 604.654 hectáreas distribuidas 20 municipios de los departamentos de Bolivar, Cundinamarca, Huila, Meta, Cauca, Arauca y Vichada; se levantaron un total de 110 puntos de control terrestre localizados en los departamentos de Meta, Huila, Cundinamarca, Cauca, y Tolima y, se ajustaron bloques fotogramétricos de Aerotriangulación en un total de 62.332 hectáreas distribuidas  en ocho (8) cabeceras municipales escala 1:1.000: Maria la Baja, El Carmen de Bolivar, Mahates (Bolivar) y AT de área rural de Planadas (Tolima). 
De otra parte, se gestionaron  1.055.714 ha de insumos cartográficos con la  FAC de los departamentos de Guaviare, Vaupés y Meta;  toma efectuada con Dron del IGAC de 1.548 ha de los municipios de Guamo, Cordoba y San jacinto en el departamento de Bolívar; y toma efectuada con el Avión del IGAC de 694,455 ha de los departamentos de Vichada, Arauca Cundinamarca, Tolima. Huila, Meta y Cauca. Se recibieron  6.775.620 has de  informacion de imágenes Spot compartidas por CORANTIOQUIA que cubren zona centro del Departamento de Antioquia, zona sur del Departamento de Cordoba y zona sur del Departamento de Bolivar .
Adicionalmente, se validaron un total de 140.102,28 hectáreas de vectores restituidos en 3 dimensiones de los departamentos de Tolima, Cauca, Antioquia y Meta.</t>
  </si>
  <si>
    <t>Se finalizó la caracterización territorial de diez (10) municipios: Guachené, Inzá, Padilla, Santa Rosa y Florencia en el Departamento del Cauca; Mocoa, San Miguel, Valle del Guamuez y Villagarzón en Putumayo y Topaipí en Cundinamarca, correspondiente a 878.651,99 ha, para un total acumulado a la fecha de cincuenta  y dos (52) caracterizaciones territoriales correspondiente a 8.784.660,17 ha.
Asi mismo, se adelantó el desarrollo de los documentos de caracterización territorial para los municipios de Gachancipá en el departamento de Cundinamarca, San José del Fragua, La Montañita, Florencia, San Vicente del Caguán, Valparaíso y Belén de Los Andaquíes en Caquetá, Puerto Gaitán y La Macarena en Meta, Planadas en el Tolima, y Purísima y  San Andrés de Sotavento en Córdoba; y  de análisis de POT para los municipios de Gachancipá en Cundinamarca, Florencia, La Montañita, San José del Fragua y El Doncello en Caquetá, La Macarena y Puerto Gaitán en Meta, San Andrés de Sotavento y Purísima en Córdoba.</t>
  </si>
  <si>
    <t>% de avance de meta a Diciembre de 2020</t>
  </si>
  <si>
    <t>Avance cualitativo a Diciembre</t>
  </si>
  <si>
    <t xml:space="preserve">Avance cuantitativo a Diciembre 2020 </t>
  </si>
  <si>
    <t>Avance cuantitativo acumulado vigencias 2019-2020</t>
  </si>
  <si>
    <t>AÑO</t>
  </si>
  <si>
    <t>META</t>
  </si>
  <si>
    <t>EJECUTADO</t>
  </si>
  <si>
    <t>ACUMULADO</t>
  </si>
  <si>
    <t>%</t>
  </si>
  <si>
    <t>Área (ha)</t>
  </si>
  <si>
    <t>Línea base</t>
  </si>
  <si>
    <t>CARTOGRAFÍA</t>
  </si>
  <si>
    <t>Año</t>
  </si>
  <si>
    <t>Meta</t>
  </si>
  <si>
    <t>Avance</t>
  </si>
  <si>
    <t>% Avance</t>
  </si>
  <si>
    <t>Meta real</t>
  </si>
  <si>
    <t>Línea Base</t>
  </si>
  <si>
    <t>-</t>
  </si>
  <si>
    <t>Ene-Dic 2019</t>
  </si>
  <si>
    <t>Ene-Dic 2020</t>
  </si>
  <si>
    <t>Ene-Dic 2021</t>
  </si>
  <si>
    <t>Ene-Dic 2022</t>
  </si>
  <si>
    <t>2018-2022</t>
  </si>
  <si>
    <t>12.5%</t>
  </si>
  <si>
    <t>10.5%</t>
  </si>
  <si>
    <t>CARACTERIZACIÓN</t>
  </si>
  <si>
    <r>
      <rPr>
        <b/>
        <sz val="12"/>
        <color theme="1"/>
        <rFont val="Arial"/>
        <family val="2"/>
      </rPr>
      <t>Para la vigencia 2020, respecto a la implementación del Sistema Nacional de Información de Catastro Multipróposito, se logró un porcentaje  de cumplimiento del 15% y un acumulado para las vigencias 2019-2020 del 20%</t>
    </r>
    <r>
      <rPr>
        <sz val="12"/>
        <color theme="1"/>
        <rFont val="Arial"/>
        <family val="2"/>
      </rPr>
      <t>. En resumen, con relacion a las etapas de Análisis y Diseño, durante la vigencia se realizaron las siguientes actividades:
1. Generación de Insumos catastrales: Se adoptó el uso de herramientas para la extracción de datos, de los sistemas de información catastrales COBOL y SNC, requeridos para la generación de insumos catastrales definidos en el modelo LADM_COL 3.0.  
 2. Adopción de modelos extendidos y de aplicación LADM_COL: Se publicó la resolución 499 de 2020 de adopción del modelo extendido catastro registro en su versión 3.0. Se formalizó el modelo de aplicación de levantamiento catastral 1.0 y el modelo estándar de interoperabilidad catastro y registro en su versión 1.0. Adicional, se implementó el micrositio de catastro multipropósito que contiene toda la información oficial reglamentada por el IGAC.  
 3. Interrelación Catastro Registro: Se habilitó  el servicio de consulta de la información registral por parte de la SNR, que permite la consulta en línea de la información registral, utilizada por las direcciones territoriales del IGAC, con el objetivo de validar la información que está siendo radicada por un ciudadano y la que se encuentra publicada en los sistemas de la SNR, de esta forma se mejora la calidad de la información que ingresa a los sistemas del IGAC.  
4.Puesta en producción del sistema de transición: Se configuró e instaló 16 microservicios y dos servicios de base de datos para el sistema de información Catastro Multipropósito, el cual cuenta con el módulo de gestión de insumos para que los gestores y operadores puedan gestionar las solicitudes de información requeridas para los procesos de levantamiento catastral.   Se habilitaron los usuarios a la Agencia Nacional de Tierras, la Superintendencia de Notariado y Registro, y Parques Nacionales, así mismo se hizo la capacitación en el módulo de administración del sistema, a funcionarios del IGAC.
5. Protocolo de asignación NUPRE: Se elaboró el documento de protocolo de asignación de NUPRE (Identificador único predial), en este documento se define la estrategia de entrega a los gestores catastrales.
6. Sistema de captura de información en campo con enfoque multipropósito - CICA: Se implementó el componente Web y Móvil del sistema de captura en campo, que incorpora las variables establecidas en el modelo de aplicación de levantamiento catastral 1.0 LADM_COL. Con el uso de esta herramienta se realizo la captura en campo del proceso de actualización catastral en los municipios de Risaralda (Apia, Balboa, La Celia, Belén de Umbría, Guática, Marsella, Santuario y Pueblo Rico; así mismo se hizo la entrega de dicha versión a los municipios de Cumaribo (Vichada), Gachancipá (Cundinamarca), Villavicencio y Soacha(Cundinamarca).
7. Elaboración Diagnóstico  del Sistema Nacional Catastral v 1.0, el cual tiene  como objetivo, establecer una hoja de ruta a intervenir, lo anterior a partir de la evaluación del estado actual del Sistema de Información Nacional Catastral, a nivel funcional y técnico, en la cual se pueda evidenciar de forma objetiva los puntos de mejora, relacionados a la optimización del sistema.
8. Documento de diseño de Arquitectura de Referencia SNC</t>
    </r>
  </si>
  <si>
    <r>
      <t xml:space="preserve">5% (Año 2019) + 15%(Año 2020)= </t>
    </r>
    <r>
      <rPr>
        <b/>
        <sz val="12"/>
        <color theme="1"/>
        <rFont val="Arial"/>
        <family val="2"/>
      </rPr>
      <t>20% (Acumulado)</t>
    </r>
  </si>
  <si>
    <r>
      <t>8 (Año 2019) + 11 (Año 2020) =</t>
    </r>
    <r>
      <rPr>
        <b/>
        <sz val="12"/>
        <color theme="1"/>
        <rFont val="Arial"/>
        <family val="2"/>
      </rPr>
      <t xml:space="preserve"> 19 (Acumulado)</t>
    </r>
  </si>
  <si>
    <r>
      <t xml:space="preserve">Se emitió acto administrativo de Habilitación al Municipio de Sincelejo-Sucre, mediante Resolución 1030 del 10 de  diciembre de 2020.
Se emitió acto administrativo de Habilitación al Municipio de Sesquilé-Cundinamarca, mediante Resolución 1057 del 16 de  diciembre de 2020.
De acuerdo con lo anterior, en diciembre se habilitaron 2 gestores catastrales, quedando a la fecha 19 gestores catastrales habilitados.
</t>
    </r>
    <r>
      <rPr>
        <b/>
        <sz val="12"/>
        <color theme="1"/>
        <rFont val="Arial"/>
        <family val="2"/>
      </rPr>
      <t xml:space="preserve">Para la vigencia 2020 la meta es 10 gestores catastrales habilitados y el año cerró con 11, es decir, se superó la meta en 10%. Adicionalmente, la meta del cuatrienio es 20 gestores catastrales habilitados y al cierre de la vigencia 2020 cerró con un total de 19, es decir,al 31 de diciembre de 2020  se ha cumplido la meta del cuatrienio en un 95% </t>
    </r>
  </si>
  <si>
    <t>Se estima que los Gestores catastrales entregarán la información el 20 de enero , una vez se realice la revisión  en el sistema nacional catastral con el fin de obtener la información del área geográfica con catastro actualizado y reportar las cifras finales corte diciembre 2020</t>
  </si>
  <si>
    <t>Ver Observación en "Avance Cualitativo a Diciembre"</t>
  </si>
  <si>
    <t>% avance acumulado
vigencias 2019 -2020</t>
  </si>
  <si>
    <t>Este indicador se debe revisar con DNP para verificar si es de tipo acumulación o suma</t>
  </si>
  <si>
    <r>
      <t xml:space="preserve">En el mes de diciembre se ajustaron los documentos generados en las diferentes etapas del proyecto, de acuerdo con las observaciones de la Comisión Nacional de Territorios Indígenas - CNTI y se realizó la validación de la documentación. 
Así mismo, se generó actas de aprobación de los productos finales y del compromiso de capacitación para el año 2020, también se realizaron las respectivas correcciones al Sistema de Información Geográfica SIG Indígenas, de acuerdo a las incidencias reportadas por la Comisión Nacional de Territorios Indígenas - CNTI.
</t>
    </r>
    <r>
      <rPr>
        <b/>
        <sz val="12"/>
        <color theme="1"/>
        <rFont val="Arial"/>
        <family val="2"/>
      </rPr>
      <t>Por otra parte, para la vigencia 2020 se programó una meta del 30% de implementación del programa marco de operación del sistema de información Geográfico -SIG Indígena, la cual se cumplió al 100%</t>
    </r>
    <r>
      <rPr>
        <sz val="12"/>
        <color theme="1"/>
        <rFont val="Arial"/>
        <family val="2"/>
      </rPr>
      <t xml:space="preserve"> desarrollando las siguientes etapas: 1.) Planeación del proyecto vigencia 2020 (8%), 2.) Análisis de nuevas funcionalidades para el SIG indígenas (9%),3.) Transferencia de Conocimiento (10%) y 4.) Soporte de funcionamiento del SIG Indígenas (3%)         
        </t>
    </r>
  </si>
  <si>
    <t>Pendiente</t>
  </si>
  <si>
    <t>REZAGO 2019</t>
  </si>
  <si>
    <t>REZAGO 2020</t>
  </si>
  <si>
    <t>SIN REZAGO</t>
  </si>
  <si>
    <t>REZAGO CUATRIENIO</t>
  </si>
  <si>
    <t>NUEVA META 2021</t>
  </si>
  <si>
    <t>REZAGO 2020 (ha)</t>
  </si>
  <si>
    <t>REZAGO CUATRIENIO (ha)</t>
  </si>
  <si>
    <t>N/A</t>
  </si>
  <si>
    <t>PENDIENTE PARA CUMPLIR CUATRIENIO</t>
  </si>
  <si>
    <t>CUMPLIDA</t>
  </si>
  <si>
    <t>NUEVA META 2021 (ha)</t>
  </si>
  <si>
    <t>REZAGO METAS</t>
  </si>
  <si>
    <t>Para el mes de diciembre  se generaron ortoimágenes de 216.500 ha de los departamentos de Putumayo, Bolívar, Córdoba, Caquetá, Norte de Santander, Cauca, Cundinamarca y Meta; y Modelo Digital de Elevación de 5.283.577 hectáreas localizadas en los departamentos de Antioquia, Arauca, Bolívar, Boyacá, Casanaré, Cesár, Chocó, Córdoba, La Guajira, Magdalena, Meta, Norte de Santander, Sucre, Vichada.
Para un total al mes de 5.500.077 ha generadas o actualizadas  de productos cartográficos y un acumulado a la fecha de 13.418.129 ha.
Resultado de la gestión al cierre de la vigencia 2020, el IGAC logró un 11,76% del área geográfica con cartografía básica a las escalas y con la temporalidad adecuada de 13.418.129 ha, obteniendo un acumulado del 14,76% de cubrimiento del territorio colombiano con cartografía actualizada al 2020, Lo anterior suma un cumplimiento acumulado 2019-2020 del 64,18% respecto a la meta del 23%,</t>
  </si>
  <si>
    <t>3% (Año 2019)+11,76%(Año 2020)= 14,76% ( acumulado)
El avance acumulado 2019 -2020  en ha es de 17.238.844,5, sin embargo teniendo en cuenta que para el año 2019 se registro el 3% equivalente a 3.422.898,1 ha y no se tuvo en cuenta el real ejecutado: 3.820.715,52 ha; se toma el valor total de 16.841.027,10 ( 13.418.129+3.422.898,1)
Ver hoja 2</t>
  </si>
  <si>
    <t>Se finalizó la caracterización territorial de cuarenta y tres (43) municipios: Gachancipá, Florencia, Albania, Belén de los Andaquies, El Doncello, El Paujil, La Montañita, Milán, Morelia, San José de Fragua, Valparaiso, San Vicente del Caguán, La Macarena, Puerto Gaitán, Planadas.  Boavita, Covarachía, Cuítiva, Iza, Tipacoque, Chimá, Momil, Purísima de la Concepción, San Andrés de Sotavento, Tuchín, Aracataca, Fundación, Cabuyaro, Cumbitara, El Rosario, Leiva, Chalán, Morroa, Tolú viejo.  Agustin Codazzi, Astrea, Becerril, El Paso, Manaure balcón del Cesar, Puebo Bello, San Diego, Tamalameque, Dibulla, correspondiente a 7.447.043,27 ha, para un total acumulado de 16.231.703,44 ha y 95 caracterizaciones.  
La Subdirección de Geografía y Cartografía de acuerdo con la meta del Plan Nacional de Desarrollo 2018 – 2022 “Pacto por Colombia pacto por la equidad”, logró un 14,23% correspondiente a 16.231.703,44 ha del cubrimiento del  Territorio Colombiano con caracterización territorial, para un acumulado del 37,23% al 2020. Lo anterior suma un cumplimiento acumulado 2019-2020 del 100,62% respecto a la meta del 37%,</t>
  </si>
  <si>
    <t>12,5% (Línea Base) + 10,5% (Año 2019) +14,23% (Año 2020)= 37,23% (Acumulado)
Ver hoja 3</t>
  </si>
  <si>
    <t>En el mes de diciembre se realizó el monitoreo automático de los geoservicios del Portal Geográfico Nacional mediante la herramienta libre GeoHealthCheck optimizando el seguimiento de 335 geoservicios, de estos geoservicios se identifica que 320 geoservcios se encuentran operando plenamente y 15 geoservicios se encuentran operando parcialmente.
Así mismo, se realizó la incorporación de 37 nuevos geoservicios correspondientes a las siguientes entidades: Alcaldía de Medellín, Autoridad Nacional de Licencias Ambientales - ANLA, Gobernación de Antioquia, Infraestructura de Datos Espaciales de Bogotá - IDECA, Instituto Nacional de Vías -  INVIAS,  Instituto Amazónico de Investigaciones Científicas - SINCHI, Unidad de Planeación Minero Energética – UPME y la  Unidad de Planificación Rural Agropecuaria - UPRA, estos geoservicios sumaron al inventario 134 nuevas URL.
En total, se cuenta con 372 geoservicios publicados y disponibles en el Portal Geográfico Nacional, de los cuales 357 geoservicios se encuentran operando plenamente y 15 geoservicios se encuentran operando parcialmente.
Por otra parte, para la vigencia 2020 se programó una meta de 25 geoservicios publicados y disponibles en el Portal Geográfico Nacional, sin embargo, debido a la optimización del proceso de monitoreo (implementación herramienta libre GeoHealthCheck), a las gestiones realizadas permanentemente con las entidades productoras de los recursos geográficos para mantener la activación de sus geoservicios y a las gestiones realizadas con las diferentes entidades para la incorporación de nuevos geoservicios al Portal Geográfico Nacional.
Lo anterior suma un cumplimiento acumulado 2019-2020 de 372 geoservicios, con  respecto a la meta de 200, cumpliendo en un 186%,</t>
  </si>
  <si>
    <t>185(Año 2019) + 187 (Año 2020)= 372 (Acumulado)</t>
  </si>
  <si>
    <t>Meta física</t>
  </si>
  <si>
    <t>Rezago 2019</t>
  </si>
  <si>
    <t>Rezago Ha</t>
  </si>
  <si>
    <t>Avance físico 2020</t>
  </si>
  <si>
    <t>SEGUIMIENTO AÑO 2019</t>
  </si>
  <si>
    <t>2019 PDET</t>
  </si>
  <si>
    <t>2020PDET</t>
  </si>
  <si>
    <t>Avance Cualitativo</t>
  </si>
  <si>
    <t xml:space="preserve">Avance real </t>
  </si>
  <si>
    <t xml:space="preserve">Meta </t>
  </si>
  <si>
    <t xml:space="preserve">Meta 
</t>
  </si>
  <si>
    <t xml:space="preserve">% avance cuatrienio </t>
  </si>
  <si>
    <t>Faltante para meta cuatrienio</t>
  </si>
  <si>
    <t xml:space="preserve">%Avance meta 2020 </t>
  </si>
  <si>
    <t>Rezago %area actualizada</t>
  </si>
  <si>
    <t>Avance físico</t>
  </si>
  <si>
    <t>Porcentaje del área geográfica con catastro actualizado  (hectáreas)</t>
  </si>
  <si>
    <t>LB</t>
  </si>
  <si>
    <t>En el mes de diciembre se realizó el monitoreo automático de los geoservicios del Portal Geográfico Nacional mediante la herramienta libre GeoHealthCheck optimizando el seguimiento de 335 geoservicios, de estos geoservicios se identifica que 320 geoservcios se encuentran operando plenamente y 15 geoservicios se encuentran operando parcialmente. Así mismo, se realizó la incorporación de 37 nuevos geoservicios correspondientes a las siguientes entidades: Alcaldía de Medellín, Autoridad Nacional de Licencias Ambientales - ANLA, Gobernación de Antioquia, Infraestructura de Datos Espaciales de Bogotá - IDECA, Instituto Nacional de Vías - INVIAS, Instituto Amazónico de Investigaciones Científicas - SINCHI, Unidad de Planeación Minero Energética – UPME y la Unidad de Planificación Rural Agropecuaria - UPRA, estos geoservicios sumaron al inventario 134 nuevas URL. En total, se cuenta con 372 geoservicios publicados y disponibles en el Portal Geográfico Nacional, de los cuales 357 geoservicios se encuentran operando plenamente y 15 geoservicios se encuentran operando parcialmente. Por otra parte, para la vigencia 2020 se programó una meta de 200 geoservicios publicados y disponibles en el Portal Geográfico Nacional, sin embargo, debido a la optimización del proceso de monitoreo (implementación herramienta libre GeoHealthCheck), a las gestiones realizadas permanentemente con las entidades productoras de los recursos geográficos para mantener la activación de sus geoservicios y a las gestiones realizadas con las diferentes entidades para la incorporación de nuevos geoservicios al Portal Geográfico Nacional, se logró superar la meta con 172 geoservicios más de lo programado , teniendo un cumplimiento del 186%.</t>
  </si>
  <si>
    <t>En el mes de diciembre se ajustaron los documentos generados en las diferentes etapas del proyecto, de acuerdo con las observaciones de la Comisión Nacional de Territorios Indígenas - CNTI y se realizó la validación de la documentación. Así mismo, se generó actas de aprobación de los productos finales y del compromiso de capacitación para el año 2020, también se realizaron las respectivas correcciones al Sistema de Información Geográfica SIG Indígenas, de acuerdo a las incidencias reportadas por la Comisión Nacional de Territorios Indígenas - CNTI. Por otra parte, para la vigencia 2020 se programó una meta del 30% de implementación del programa marco de operación del sistema de información Geográfico -SIG Indígena, la cual se cumplió al 100% desarrollando las siguientes etapas: 1.) Planeación del proyecto vigencia 2020 (8%), 2.) Análisis de nuevas funcionalidades para el SIG indígenas (9%),3.) Transferencia de Conocimiento (10%) y 4.) Soporte de funcionamiento del SIG Indígenas (3%)</t>
  </si>
  <si>
    <t>Con corte a Diciembre 31 de 2020, respecto a la implementación del Sistema Nacional de Información de Catastro Multipróposito, se logró un porcentaje de cumplimiento del 15%, obteniendo un acumulado a la fecha del 20%. En resumen, con relación a las etapas de Análisis y Diseño, durante la vigencia se realizaron las siguientes actividades: 1. Generación de Insumos catastrales: Se adoptó el uso de herramientas para la extracción de datos, de los sistemas de información catastrales COBOL y SNC, requeridos para la generación de insumos catastrales definidos en el modelo LADM_COL 3.0. Se anexa: Instructivo ETL-SNC y Video_instructivo_ETL_snc (1). 2. Adopción de modelos extendidos y de aplicación LADM_COL: Se publicó la resolución 499 de 2020 de adopción del modelo extendido catastro registro en su versión 3.0. Se formalizó el modelo de aplicación de levantamiento catastral 1.0 y el modelo estándar de interoperabilidad catastro y registro en su versión 1.0. Adicional, se implementó el micrositio de catastro multipropósito que contiene toda la información oficial reglamentada por el IGAC. Se anexa: Resolución 499_conjunta_snr_-_igac, Micrositio Catastro multipropósito y Diseño. 3. Interrelación Catastro Registro: Se habilitó el servicio de consulta de la información registral por parte de la SNR, que permite la consulta en línea de la información registral, utilizada por las direcciones territoriales del IGAC, con el objetivo de validar la información que está siendo radicada por un ciudadano y la que se encuentra publicada en los sistemas de la SNR, de esta forma se mejora la calidad de la información que ingresa a los sistemas del IGAC. Se anexa: Interrelación Catastro - Registro_Informe Cruce 28122020.xlsx. 4.Puesta en producción del sistema de transición: Se configuró e instaló 16 microservicios y dos servicios de base de datos para el sistema de información Catastro Multipropósito, el cual cuenta con el módulo de gestión de insumos para que los gestores y operadores puedan gestionar las solicitudes de información requeridas para los procesos de levantamiento catastral. Se habilitaron los usuarios a la Agencia Nacional de Tierras, la Superintendencia de Notariado y Registro, y Parques Nacionales, así mismo se hizo la capacitación en el módulo de administración del sistema, a funcionarios del IGAC. Se anexa: Parte_2.mp4 5. Protocolo de asignación NUPRE: Se elaboró el documento de protocolo de asignación de NUPRE (Identificador único predial), en este documento se define la estrategia de entrega a los gestores catastrales. Se anexa: Documento_Protocolo_Nupre 6. Sistema de captura de información en campo con enfoque multipropósito - CICA: Se implementó el componente Web y Móvil del sistema de captura en campo, que incorpora las variables establecidas en el modelo de aplicación de levantamiento catastral 1.0 LADM_COL. Con el uso de esta herramienta se realizo la captura en campo del proceso de actualización catastral en los municipios de Risaralda (Apia, Balboa, La Celia, Belén de Umbría, Guática, Marsella, Santuario y Pueblo Rico; así mismo se hizo la entrega de dicha versión a los municipios de Cumaribo (Vichada), Gachancipá (Cundinamarca), Villavicencio y Soacha(Cundinamarca). Se anexa : Manual_de_Usuario_CICA 7. Elaboración Diagnóstico del Sistema Nacional Catastral v 1.0, el cual tiene como objetivo, establecer una hoja de ruta a intervenir, lo anterior a partir de la evaluación del estado actual del Sistema de Información Nacional Catastral, a nivel funcional y técnico, en la cual se pueda evidenciar de forma objetiva los puntos de mejora, relacionados a la optimización del sistema. Se anexa: 20201130_Diagnóstico SNC 8. Documento de diseño de Arquitectura de Referencia SNC. Se anexa: Presentación Diseño de Arquitectura</t>
  </si>
  <si>
    <t>Se finalizó el proceso de actualización catastral de los 9 municipios programados en 2019. A 1 de enero de 2020, se reportan 2.564.383,61 hectáreas. actualizadas catastralmente a nivel nacional, las cuales corresponden al 2,25% del área geográfica del país. La meta programada fue establecida en 8,5%, por lo cual se cumplió en un 27%; esto se debe a la reprogramación que se realizó, para adelantar el proceso de actualización catastral del área rural de Cumaribo (6.559.728,12 Ha.) en la vigencia 2020, debido a la necesidad de contar con los procedimientos de catastro multipropósito y los lineamientos para la gestión catastral que se debe adelantar en los municipios con presencia de grupos étnicos, adoptados.</t>
  </si>
  <si>
    <t>Se llevó a cabo la actualización de los municipios de La Jagua de Ibirico, Cesar, Ovejas y Sucre (PDET). Estos municipios pertenecen a la jurisdicción del IGAC y cuentan con un área total de 121.595,52 Ha. Teniendo en cuenta que los municipios PDET tienen un área geográfica de 39.084.775,05 de hectáreas, se da cumplimiento al 0,31% de la meta del cuatrienio, según lo programado.</t>
  </si>
  <si>
    <t>Meta 2021</t>
  </si>
  <si>
    <t>Avance real total 2021</t>
  </si>
  <si>
    <t xml:space="preserve">%Avance meta 2021 </t>
  </si>
  <si>
    <t>Avance enero</t>
  </si>
  <si>
    <t>Avance Cualitativo Total 2021</t>
  </si>
  <si>
    <t>Avance Cualitativo enero</t>
  </si>
  <si>
    <t>Meta física 2021</t>
  </si>
  <si>
    <t>Avance físico 2021</t>
  </si>
  <si>
    <t>Anual</t>
  </si>
  <si>
    <t>Trimestral</t>
  </si>
  <si>
    <t>% de avance meta 2019</t>
  </si>
  <si>
    <t>% avance cuatrienio</t>
  </si>
  <si>
    <t>PERIODICIDAD REPORTE
 CUANTITATIVO</t>
  </si>
  <si>
    <t>El avance acumulado a 2020 fue de 10,32% con  la actualización de 4.038.252 hectáreas.</t>
  </si>
  <si>
    <t>En el mes de diciembre se generaron ortoimágenes de 216.500 ha de los departamentos de Putumayo, Bolívar, Córdoba, Caquetá, Norte de Santander, Cauca, Cundinamarca y Meta; y Modelo Digital de Elevación de 5.283.577 hectáreas localizadas en los departamentos de Antioquia, Arauca, Bolívar, Boyacá, Casanaré, Cesár, Chocó, Córdoba, La Guajira, Magdalena, Meta, Norte de Santander, Sucre, Vichada, para un total al mes de 5.500.077 ha generadas o actualizadas de productos cartográficos y un total para la vigencia 2020 de 13.418.129 ha, correspondiente al 11,76% del área geográfica con cartografía básica a las escalas y con la temporalidad adecuada.</t>
  </si>
  <si>
    <t>Para el mes de diciembre, se finalizó la caracterización territorial de cuarenta y tres (43) municipios: Gachancipá, Florencia, Albania, Belén de los Andaquies, El Doncello, El Paujil, La Montañita, Milán, Morelia, San José de Fragua, Valparaiso, San Vicente del Caguán, La Macarena, Puerto Gaitán, Planadas. Boavita, Covarachía, Cuítiva, Iza, Tipacoque, Chimá, Momil, Purísima de la Concepción, San Andrés de Sotavento, Tuchín, Aracataca, Fundación, Cabuyaro, Cumbitara, El Rosario, Leiva, Chalán, Morroa, Tolú viejo. Agustin Codazzi, Astrea, Becerril, El Paso, Manaure balcón del Cesar, Puebo Bello, San Diego, Tamalameque, Dibulla, correspondiente a 7.447.043,27 ha, para un total en la vigencia 2020 de 16.231.703,44 ha y 95 caracterizaciones.</t>
  </si>
  <si>
    <t>%avance frente a la meta 2021</t>
  </si>
  <si>
    <t>Durante el mes de enero, se generaron 75.231,63 hectáreas de productos cartográficos parcial o total del área rural de los municipios de: Villavicencio (Meta), Cáceres (Antioquia) y Planadas (Tolima). Así mismo,  se generaron 2.876,09 hectáreas de productos cartográficos del área urbana del municipio de Villavicencio, Meta, de las cuales 306,61 ha se encuentran traslapadas, por lo que el cubrimiento total en cartografía para el mes de enero es de 77.801,11 ha</t>
  </si>
  <si>
    <t>Durante el mes de enero, se realizó la caracterización territorial del municipio de Villavicencio y se avanzó en la consolidación y análisis de la información del municipio de Popayán, correspondiente a 128.375,75 has.</t>
  </si>
  <si>
    <t>Se encuentra en proceso la selección y contratación de la fábrica de software encargada de apoyar la etapa de desarrollo del Sistema Nacional de Información de Castro Multipropósito</t>
  </si>
  <si>
    <t>Semestral</t>
  </si>
  <si>
    <t>Se dio inicio al trámite de habilitación de los municipios de Envigado y Zipaquirá a través de las Resoluciones N°.1098 y 35, respectivamente.</t>
  </si>
  <si>
    <t xml:space="preserve">En el mes de enero se realizó el monitoreo automático de los geoservicios del Portal Geográfico Nacional mediante la herramienta libre GeoHealthCheck optimizando el seguimiento de 372 geoservicios, los cuales se encuentran operando plenamente.
</t>
  </si>
  <si>
    <t>En el mes de enero se realizó la planeación y programación de las actividades a desarrollar en la vigencia 2021 para el Sistema de Información Geográfica -SIG Indígenas. 
De igual forma, se elaboraron las condiciones de contratación y revisión de hojas de vida de dos profesionales que apoyarán el fortalecimiento del Sistema de Información Geográfica</t>
  </si>
  <si>
    <t>Se encuentra en proceso la etapa de contratación de personal.</t>
  </si>
  <si>
    <t>El mes de  diciembre se  habilitaron 2 gestores catastrales, por medio de los siguientes actos administrativos:  Resolución 1030 del 10 de  diciembre de 2020. que habilita como gestor catastral  Municipio de Sincelejo-Sucre; y  Resolución 1057 del 16 de  diciembre de 2020 que habilita como gestor catastral al Municipio de Sesquilé-Cundinamarca. Durante la vigencia 2011 se logró la habilitación de 11 gestores catastrales. 
El avance acumulado de gestores catastrales habilitados a 2020 fue de 19 gestores catastrales, logrando un avance  para el cuatrienio, de 95%</t>
  </si>
  <si>
    <t>Avance febrero</t>
  </si>
  <si>
    <t>Avance Cualitativo febrero</t>
  </si>
  <si>
    <t>Durante el mes de febrero, se realizó la caracterización territorial del municipio de Popayán, correspondiente a 48.037,40 ha y se avanzó con la caracterización del municipio de Arauquita.</t>
  </si>
  <si>
    <t>META FÍSICA CUATRIENIO PND</t>
  </si>
  <si>
    <t>META FÍSICA HECTÁREAS TOTAL COLOMBIA</t>
  </si>
  <si>
    <t>Durante el mes de febrero, se finalizó la producción de 31.996,77 ha del área  rural del municipio de la Plata, Huila. Adicionalmente, se avanzó en la generación de ortoimágenes y bases de datos vectorial de la cuenca Yaguilga (rural), Popayán (urbano y rural), Fuente de oro (urbano) y Chaparral (urbano).</t>
  </si>
  <si>
    <t>Avance real diciembre</t>
  </si>
  <si>
    <t>Avance fisico total terrritorio nacional</t>
  </si>
  <si>
    <t>%Avance total terrritorio nacional</t>
  </si>
  <si>
    <t>Avance fisico total terrritorio nacional acumulado</t>
  </si>
  <si>
    <t>%Avance total terrritorio nacional acumulado</t>
  </si>
  <si>
    <t>Porcentaje de área geográfica en municipios PDET con catastro actualizado (hectáreas)</t>
  </si>
  <si>
    <t>Porcentaje del área geográfica con cartografía básica a las escalas y con la temporalidad adecuadas (Hectáreas)</t>
  </si>
  <si>
    <t>Porcentaje del área geográfica con caracterización geográfica (Hectáreas)</t>
  </si>
  <si>
    <t>% avance cuatrienio  según SINERGIA</t>
  </si>
  <si>
    <t>%Avance real respecto de la meta del PND</t>
  </si>
  <si>
    <t>Acumulado.
Mide los avances de un periodo, y para el siguiente incluye (o suma) los avances obtenidos en periodos anteriores. Los avances anuales son independientes de lo obtenido en años anteriores.</t>
  </si>
  <si>
    <t>Capacidad
Toma en cuenta la línea de base (descuenta lo que ya se ha hecho antes de iniciar el período). Centra su atención en la medición del avance entre el punto de partida (línea base) y el punto esperado de llegada (meta).
Los resultados de un año se acumulan con los del siguiente año.</t>
  </si>
  <si>
    <t>Durante la vigencia 2020 se llevó a cabo la actualización de  4.083.550,05  hectáreas del área geográfica de los municipios PDET correspondientes al 10.44% del total del área geográfica de estos municipios logrando el 52,31% de avance de la meta establecida para la vigencia 2020.
De los 4,08 millones de hectáreas actualizados, 3,75 millones son producto del trabajo realizado por el IGAC y 0,33 millones de Catastro Antioquia durante el 2020</t>
  </si>
  <si>
    <t xml:space="preserve">A 1 de enero de 2021 el área geográfica con catastro actualizado es de 17.560.382,69 hectáreas correspondientes al 15,39% del área geográfica total del país y al 25,65% de la meta del Plan Nacional de Desarrollo establecida en el 60% del total del territorio. 
De los 17,56 millones de hectáreas actualizados, 8,99 millones son producto del trabajo realizado por el IGAC, la ANT y los Catastros de Antioquia y Soacha durante el 2020, así como de los municipios que han sido actualizados durante los últimos cinco años, y 8,56 millones corresponden a las áreas actualizadas mediante el proceso de conservación adelantado por el Instituto y otros gestores.
</t>
  </si>
  <si>
    <t>Se está realizando la planeación y preparación de los insumos y contratación de los equipos de trabajo para las actualizaciones catastrales de Villavicencio (fase II), Popayán, Arauquita y los 8 municipios de Boyacá (Socha, Socotá, Sativasur, Tasco, Betéitiva, Busbanzá, Corrales y Floresta). Por otro lado, se está revisando y definiendo la intervención en otros municipios adicionales para la actual vigencia.</t>
  </si>
  <si>
    <t>El IGAC junto con el DNP y la Consejería Presidencial para la Gestión y Cumplimiento, brindó asesoría a los municipios de las regiones PDET en la formulación de los proyectos tipo, con cargo al presupuesto de regalías a fin de lograr la financiación de la gestión catastral de 38 municipios PDET.</t>
  </si>
  <si>
    <t>Se realizaron reuniones con  los Gestores Castastrales, la Superintendencia de Notariado y Regitro, y el Departamento Nacional de Planeación; con el propósito de definir el alcance del Sistema Nacional de Información de Catastro Multipropósito SINIC, con relación a lss  funcionalidades del mismo,requeridas para el ejercicio de las funciones de inspección, vigilancia y control que hacen parte del servicio público catastral.</t>
  </si>
  <si>
    <t>Durante el mes de febrero se habilitaron como gestores catastrales los municipios de Zipaquirá y Envigado - Antioquia por  medio de las Resoluciones 96 del 09-02-2021 y 95 del 09-02-2021 respectivamente.
Al mes de febrero se superó la meta del cuatrienio en un105%, con la habilitación de 21 gestores catastrales.</t>
  </si>
  <si>
    <t>En el mes de febrero se realizó el monitoreo automático de los geoservicios mediante la herramienta libre GeoHealthCheck optimizando el seguimiento de 372 geoservicios, los cuales se encuentran operando plenamente. 
Así mismo se da inicio a la migración de los geoservicios del Portal Geográfico Nacional al nuevo Portal Colombia en mapas.</t>
  </si>
  <si>
    <t>En el mes de febrero se realizó la elaboración del Plan de Gestión del Proyecto SIG-Indígena_Fase II y del cronograma de actividades del Proyecto.
Así mismo, se envió comunicado a la Comisión Nacional de Territorios Indigenas - CNTI con el fin de programar una reunión para la revisión y aprobación del plan de gestión y cronograma de actividades del proyecto SIG-Indígena_Fase II.</t>
  </si>
  <si>
    <t>% avance cuatrienio según SINERGIA</t>
  </si>
  <si>
    <t>Avance marzo</t>
  </si>
  <si>
    <t>Avance Cualitativo marzo</t>
  </si>
  <si>
    <t>Durante el mes de marzo, se generaron productos cartográficos del área rural de 732,82 ha del municipio La Plata, Huila y 57.008,4 ha del municipio Fuente de Oro, Meta. Es decir, que el cubrimiento total en cartografía para el mes de marzo es de 57.741,22 ha.</t>
  </si>
  <si>
    <t>Durante el mes de marzo, se realizó la caracterización territorial de Arauquita, correspondiente a 287.686,40 ha y se avanzó en las caracterizaciones del Guamo, Córdoba y Rioblanco.</t>
  </si>
  <si>
    <t>Durante el primer trimestre del 2021 se adelantaron las contrataciones del personal para realizar los procesos de actualización de los municipios de Popayán y Villavicencio cuyos contratos fueron firmados en 2020. Para el caso de Villavicencio se realizó la socialización con las autoridades municipales de la fase II del proceso de actualización y se dio inicio al trabajo de campo. 
En lo que respecta a la actualización de Popayán fue aprobado por parte de la Alcaldía municipal el plan de trabajo y así mismo, se llevó a cabo la socialización del proceso con las autoridades municipales. Se tiene contemplado iniciar trabajo de campo a partir del mes de abril. Por otro lado, se suscribió el contrato para la actualización catastral de Arauquita del departamento de Arauca. Para este caso, fue aprobado el plan de trabajo y se expidió la resolución de inicio del proceso. 
Finalmente, se realizó la planeación de la socialización de los procesos de actualización catastral con las autoridades municipales de los 8 municipios de Boyacá en los que se llevarán a cabo procesos de actualización catastral en la presente vigencia. En este sentido, se suscribió el acta de inicio con el operador Telezpacio quien adelantará dicha labor.</t>
  </si>
  <si>
    <t>El IGAC brindó apoyo en la estructuración y revisión de documentos técnicos de 5 proyectos tipo  regalías, correspondiente a los municipios de: Balboa, Tibú, Solita, Curillo y Algeciras.</t>
  </si>
  <si>
    <t>Se realizó el análisis, las especificaciones y diseño del documento de arquitectura base en su primera versión para el Repositorio de Datos Maestros.</t>
  </si>
  <si>
    <t>60% (solo vigencia 2021)
40%(con acumulación de años anteriores y rezago)</t>
  </si>
  <si>
    <t>Durante el mes de marzo se habilitaron como gestores catastrales los municipios de Armenia y Jamundí por medio de las Resoluciones 201 y 202 del 31-03-2021 respectivamente. Al mes de marzo se superó la meta del cuatrienio en un115%, con la habilitación de 23 gestores catastrales. Se dio inicio al Trámite de Habilitación del municipio de Sabaneta-Antioquia, mediante Resolución 181 del 23 de marzo de 2021.</t>
  </si>
  <si>
    <t>En el mes de marzo se realizó el monitoreo automático de los geoservicios mediante la herramienta libre GeoHealthCheck optimizando el seguimiento de 372 geoservicios, los cuales se encuentran operando plenamente. Así mismo, se realizaron gestiones con las entidades para el restablecimiento de algunos geoservicios que se encontraban fuera de servicio. Por otra parte, se continua con la migración de los geoservicios del Portal Geográfico Nacional al nuevo Portal Colombia en Mapas. 
Para la vigencia 2021 se programó una meta de 225 geoservicios publicados y disponibles, sin embargo, debido a la optimización del proceso de monitoreo (implementación herramienta libre GeoHealthCheck), a las gestiones realizadas permanentemente con las entidades productoras de los recursos geográficos para mantener la activación de sus geoservicios y a las gestiones realizadas con las diferentes entidades para la incorporación de nuevos geoservicios, se ha logrado superar la meta en 147 geoservicios más de lo programado , teniendo un cumplimiento del 165%.</t>
  </si>
  <si>
    <t>En el mes de marzo se realizaron reuniones con la Comisión Nacional de Territorios Indígenas - CNTI, donde se discutió y aprobó el Plan de gestión del proyecto SIG_Indígena_Fase II y el cronograma de actividades para la vigencia 2021.
Así mismo, se realizó la definición de las fechas preliminares para las actividades de entrenamiento que se realizaran con los miembros de la Comisión Nacional de Territorios Indígenas _CNTI en la apropiación del SIG_ Indígena.
Por otra parte, para la vigencia 2021 se programó una meta del 30% de la implementación del programa marco de operación del sistema de información Geográfica -SIG Indígena, por lo tanto, para el primer trimestre del año se realizó un avance del 5% de la meta programada correspondiente a la etapa de planeación del proyecto.</t>
  </si>
  <si>
    <t>Pacto por la equidad de oportunidades para grupos étnicos: Indígenas, Negros, Afrocolombianos, Raizales y Palenqueros</t>
  </si>
  <si>
    <t>No</t>
  </si>
  <si>
    <t>Mide el número de entidades públicas nacionales o territoriales, incluyendo, entre otros, esquemas asociativos de entidades territoriales, que sean habilitados como gestores catastrales para la prestación del servicio catastral.</t>
  </si>
  <si>
    <t>Mide el número de geoservicios publicados y disponibles en el Portal Geografico Nacional - PGN por las entidades productoras del orden nacinal y territorial de utilidad para la toma de decisiones que promueven el desarrollo regional.</t>
  </si>
  <si>
    <t>Mide el porcentaje de avance de la implementación del programa marco de operaciòn del Sistema de Informaciòn Geogràfico - SIG Indìgena a partir de las actividades de análisis, diseño, desarrollo,aseguramiento de calidad, puesta en producción y operación del Sistema</t>
  </si>
  <si>
    <t xml:space="preserve">Mide el porcentaje del área geográfica con productos cartográficos generados a diferentes escalas para su uso en  proyectos de intervención territorial como el Catastro Multipróposito y los POT </t>
  </si>
  <si>
    <t>Mide el total del área geográfica que cuenta con un catastro actualizado, incluidos  el área geográfica bajo jurisdicción del IGAC y de los gestores catastrales habilitados.</t>
  </si>
  <si>
    <t>Mide el porcentaje de cubrimiento con caracterización y análisis geográfico del territorio nacional, para generar estudios y metodologías geográficas como herramientas para apoyar la gestión del desarrollo territorial, así como para proyectos tales como el barrido predial masivo en los municipio donde se implementará el catastro multipropósito</t>
  </si>
  <si>
    <t>Mide el área de los municipios PDET a los cuales se les ha realizado actualización de la información catastral, incluyendo el área los municipios PDET que se encuentran bajo jurisdicción del IGAC y de los Gestores Catastrales.</t>
  </si>
  <si>
    <t>Mide el porcentaje de avance de la implementación del Sistema de Información de Catastro Multipropósito a partir de las actividades de análisis, diseño, desarrollo,aseguramiento de calidad, puesta en producción y operación del Sistema.</t>
  </si>
  <si>
    <t>OBJETIVO</t>
  </si>
  <si>
    <t xml:space="preserve">En el mes de abril se generó el documento de diseño de la base de datos del sistema de información incluyendo el diccionario de datos y modelos conceptual, lógico y físico. Este documento se encuentra pendiente de validación por la Comisión Nacional de Territorios Indígenas - CNTI.
Así mismo, se brindó apoyo en la elaboración de la encuesta para medir el nivel de conocimiento que tienen los participantes que tomarán los cursos de entrenamiento dentro en la vigencia 2021.
Por otra parte, se atendieron las incidencias reportadas por la Comisión Nacional de Territorios Indígenas - CNTI de las fallas que presentó el Sistema de Información Geográfica. Así mismo, se atendieron las incidencias reportadas por la implementación de la herramienta en el repositorio documental de la infraestructura tecnológica dispuesta por la Comisión Nacional de Territorios Indígenas - CNTI.
Para la vigencia 2021 se programó una meta del 30% de la implementación del Programa Marco de Operación del Sistema de Información Geográfica -SIG Indígena, por lo que a la fecha se lleva un avance acumulado del 10,30% de la meta programada, para esta vigencia.
</t>
  </si>
  <si>
    <t>Avance julio</t>
  </si>
  <si>
    <t>Durante el mes de julio, se generaron 301.352 hectáreas de productos cartográficos del área rural del municipio Arauquita (Arauca); y 292 hectáreas de productos cartográficos del área urbana de los municipios: Santa Rosalía (Vichada) y Sardinata (Norte de Santander). Así mismo, se generaron 75.675,55 hectáreas de ortoimágenes de los municipios: Moniquirá (Boyacá), Tenerife (Magdalena) y Santa Rosa de Lima (Bolívar), y se reportan 2.381.675,16 hectáreas de modelos digitales de elevación de los municipios de los departamentos: Amazonas y Guainía. Además, se validaron 223.247,42 hectáreas de ortoimágenes producidas por terceros, del Departamento de Cundinamarca. Por lo tanto, el cubrimiento total en cartografía para el mes de julio es de 2.982.242,13 hectáreas.</t>
  </si>
  <si>
    <t>Avance Cualitativo julio</t>
  </si>
  <si>
    <t>SEGUIMIENTO 2021 III TRIMESTRE</t>
  </si>
  <si>
    <t>Dirección de Gestión de Información Geográfica</t>
  </si>
  <si>
    <t>Dirección de Gestión Catastral</t>
  </si>
  <si>
    <t xml:space="preserve">Durante el mes de julio se adelantaron las siguientes actividades en los municipios que se describen a continuación,  en los cuales se viene implementando el proceso de gestión catastral durante la vigencia 2021:
Villavicencio:
*Identificación predial de 71.329 predios
Popayán: 
*Identificación predial de 51.051 predios 
Arauquita: 
*Identificación predial de 240 predios . Suspendido temporalmente por orden público.
8 municipios de Boyacá:
*Inicio operación en campo: 3.667 predios reconocidos en los municipios de Socha, Socotá, Sativasur, Tasco, Betéitiva, Busbanzá y Corrales.
*Se realizó capacitación al operador catastral, se  validó y entregó observaciones de productos al operador.
*Se continuó con la socialización nivel 2 y 3 con líderes comunitarios.
Rioblanco, Guamo y Córdoba (Bolívar): 
*Se realizó el diagnóstico de la información catastral. Se está a la espera de la definición del perímetro urbano oficial para definir la zona de intervención de IGAC, en conjunto con la ANT. </t>
  </si>
  <si>
    <t xml:space="preserve">Durante el mes de julio, se realizaron 4 caracterizaciones territoriales de los municipios de Puerto Leguizamo (Putumayo), Cartagena del Chaira, Puerto Rico y Solano (Caquetá) correspondiente a 6.980.030 hectáreas. </t>
  </si>
  <si>
    <t>Se realizaron mesas técnicas, se elaboraron y revisaron tanto los documentos como los insumos de 30 municipios de los departamentos de Caquetá, Cauca, Chocó, Córdoba, Nariño, Norte de Santander, Putumayo, Sucre, y Valle del Cauca, interesados en adelantar el proceso de gestión catastral a través de la formulación de proyectos tipo con cargo al presupuesto de regalías.
A finales del mes de julio se aprobaron 6.496 millones de pesos del presupuesto general de regalías OCAD PAZ para la realización de catastro de los municipios de San Pablo de Bolívar y Balboa - Cauca, a quienes se les prestó asesoría técnica desde el IGAC, la Consejería Presidencial para la Gestión y Cumplimiento y el DNP en el proceso de formulación de proyectos tipo con cargo al presupuesto de regalías.</t>
  </si>
  <si>
    <t xml:space="preserve">Se continua con el proceso de  levantamiento de información  para  completar las especificaciones funcionales del SINIC/RDM. Así mismo,  el IGAC se encuentra a la espera  de la entrega a satisfacción de los productos técnicos que componen la arquitectura detallada para el "El Repositorio de Datos Maestros" - RDM, los cuales deben ser entregados por parte del Departamento Nacional de Planeación (DNP), documentos que servirán junto con las especificaciones funcionales como insumo para la etapa de desarrollo del  SINIC/RDM.
</t>
  </si>
  <si>
    <t>Durante el mes de julio se habilitaron como gestores catastrales los municipios de  Valledupar-Cesar e Ibagué-Tolima por medio de la Resolución 486 del 1 de julio 2021 y la Resolución 494 del 2 de julio de 2021, respectivamente.
Al mes de julio de 2021 se logró la habilitación de 27 gestores catastrales, obteniendo un 135% de avance de la meta del cuatrienio, establecida en 20 gestores catastrales habilitados.</t>
  </si>
  <si>
    <t xml:space="preserve">En el mes de julio se realizó el monitoreo automático de 465 geoservicios los cuales se encuentran operando plenamente, este monitoreo se llevó a cabo a partir de este mes mediante un nuevo aplicativo desarrollado por el IGAC para la administración de geoservicios el cual remplaza la herramienta libre GeoHealthCheck debido a que esta cuenta con una capacidad limitada para dicho monitoreo. 
Así mismo, se realizó la gestión e incorporación de 37 nuevos geoservicios suministrados por diferentes entidades como el Departamento Administrativo Nacional de Estadística (DANE), el Instituto de Hidrología, Meteorología y Estudios Ambientales (IDEAM), la Autoridad Nacional de Licencias Ambientales (ANLA) y la Corporación Autónoma Regional del Valle del Cauca (CVC). 
También, se restableció la conexión de 10 geoservicios, esto para un total de 512 geoservicios, los cuales se encuentran plenamente operando. 
Para la vigencia 2021 se programó una meta de 472 geoservicios publicados y disponibles, se ha logrado generar 512 geoservicios publicados y disponibles teniendo un cumplimiento del 108,47% de lo inicialmente programado. 
Por otra parte, debido a las herramientas que se han desarrollado para agilizar el monitoreo de los geoservicios se logró ampliar la meta del cuatrienio 2018-2022 del Plan Nacional de Desarrollo de 250 geoservicios publicados y disponibles a 500 geoservicios publicados y disponibles en el Portal Geográfico Nacional – PGN, esta modificación aplica a partir de mes de junio de 2021.
</t>
  </si>
  <si>
    <t>Dirección de Tecnologías de la Información y Comunicaciones</t>
  </si>
  <si>
    <t>Dirección de Regulación y Habilitación</t>
  </si>
  <si>
    <t>Dirección de Investigación y Prospectiva</t>
  </si>
  <si>
    <t>Avance agosto</t>
  </si>
  <si>
    <t>Avance Cualitativo agosto</t>
  </si>
  <si>
    <t xml:space="preserve">Durante el mes de agosto, se generaron 234.987,96 hectáreas de productos cartográficos del área rural de los municipios de: Popayán (Cauca) y Chaparral (Tolima); y 1.472 hectáreas de productos cartográficos del área urbana del municipio de: Ricaurte (Cundinamarca). Así mismo, se generaron 145.877,17 hectáreas de ortoimágenes de los municipios: Sabanalarga, Santa Lucía, Usiacurí (Atlántico), Arjona, Santa Catalina (Bolívar), Gachantivá, Villa de Leyva y Santa Sofía (Boyacá); y se validaron 42.272 hectáreas del municipio: Fonseca (La Guajira). Por lo tanto, el cubrimiento total en cartografía para el mes de agosto es de 424.609,13 hectáreas. </t>
  </si>
  <si>
    <t>Durante el mes de agosto se adelantaron las siguientes actividades en los municipios que se describen a continuación,  en los cuales se viene implementando el proceso de gestión catastral durante la vigencia 2021:
Villavicencio:
*Identificación predial de 75.335 predios
Popayán: 
*Identificación predial de 65.433 predios 
Arauquita: 
*Se continúa con el proceso de identificación predial de 240 predios. Este proceso se encuentra suspendido temporalmente por inconvenientes de orden público
8 municipios de Boyacá:
*Inicio operación en campo: 3.823 predios reconocidos en los municipios de Socha, Socotá, Sativasur, Tasco, Betéitiva, Busbanzá y Corrales. Pendientes por aprobación control de calidad IGAC.
Rioblanco (Tolima)  El Guamo y Córdoba (Bolívar): 
*identificación predial de 555 predios.
Ricaurte: 
*Se comenzó la operación en campo.</t>
  </si>
  <si>
    <t xml:space="preserve">Durante el mes de agosto, se realizaron 2 caracterizaciones territoriales de los municipios de San José del Guaviare (Guaviare) y Mapiripán (Meta), correspondiente a 2.864.103 hectáreas. </t>
  </si>
  <si>
    <t>Se realizaron mesas técnicas, se elaboraron y revisaron tanto los documentos como los insumos entregados por los 20 municipios de los departamentos de Arauca, Cauca, Cesar, Chocó, Nariño, Norte de Santander, Valle del Cauca en los que se ajusta la estructuración de los proyectos tipo presentados. Se lograron 4 proyectos verificados y aprobados por DNP los cuáles están en espera de la aprobación de recursos del Sistema General de Regalías - OCAD PAZ (Orito-  Putumayo, Cantagallo, Morales y Simití - Bolívar)</t>
  </si>
  <si>
    <t xml:space="preserve">En el mes de agosto se realizó el monitoreo automático de 512 geoservicios los cuales se encuentran operando plenamente, este monitoreo se realizó mediante el aplicativo desarrollado para la administración de geoservicios.
Así mismo, se realizó la gestión e incorporación de 14 nuevos geoservicios suministrados por diferentes entidades como el Departamento Administrativo Nacional de Estadística (DANE) y  la Corporación Autónoma Regional del Valle del Cauca (CVC), esto para un total de 526 geoservicios, los cuales se encuentran plenamente operando.
Para la vigencia 2021 se programó una meta de 472 geoservicios publicados y disponibles, se ha logrado generar 526 geoservicios publicados y disponibles teniendo un cumplimiento del 111,44% de lo inicialmente programado.
</t>
  </si>
  <si>
    <t>En el mes de agosto se finalizó el desarrollo de la funcionalidad de registro de solicitudes de terrenos pretendidos por la Comisión Nacional de Territorios Indígenas - CNTI ante la Agencia Nacional de Tierras – ANT en el visor geográfico de la aplicación. 
Así mismo, se realizó la capacitación en administración (cargue de capas de información geográfica al sistema) y publicación de servicios web a funcionarios de la Comisión Nacional de Territorios Indígenas, de igual forma, se realizó la inscripción para el curso de Fundamentos IDE.
Por otra parte, se realizó soporte al Sistema de Información Geográfica -SIG Indígena validando los servicios de la Agencia Nacional de Tierras – ANT y del Ministerio del Interior para las herramientas de mapas temáticos e indicadores.
Para la vigencia 2021 se programó una meta del 30% de la implementación del Programa Marco de Operación del Sistema de Información Geográfica -SIG Indígena, por lo que a la fecha se lleva un avance acumulado del 22,00% de la meta programada.</t>
  </si>
  <si>
    <t>Se continua con el proceso de estructuración, selección y contratación de la fábrica  de software encargada de apoyar la etapa de desarrollo del  SINIC/RDM. De acuerdo con lo anterior,  se presentaron los Términos de Referencia (TDR) al  Banco Mundial,  con el objeto de realizar la revisión  y aprobación final de dichos documentos y de esta manera continuar con el proceso de contratación.
Se desarrolló la entrega oficial por parte del Departamento Nacional de Planeación - DNP al IGAC , de los productos técnicos (5 documentos), los cuales  componen la arquitectura de alto nivel para “El Repositorio de Datos Maestros” – RDM y el SINIC.
Se continua con el proceso de estructuración, selección y contratación de los consultores individuales tanto del BID como del Banco Mundial, los cuales desarrollarán actividades previas y/o complementarias a la llegada de la Fábrica de Software.
Se alcanzó la meta de 9 Épicas finalizadas y 8 Épicas en proceso de levantamiento de información para incluir nuevas funcionalidades y/o mejoras al Sistema Nacional Catastral y la definición de  las Épicas a alto nivel definidas por DNP para el RDM.</t>
  </si>
  <si>
    <t>Durante el mes de agosto se habilitó como gestor catastral a la Asociación de Municipios del Catatumbo, Provincia de Ocaña y Sur del Cesar-Asomunicipios.
Al mes de agosto de 2021 se logró la habilitación de 28 gestores catastrales, obteniendo un avance de 140% de la meta del cuatrenio, establecida en 20 gestores catastrales habilitados.</t>
  </si>
  <si>
    <t>Avance septiembre</t>
  </si>
  <si>
    <t>Avance Cualitativo septiembre</t>
  </si>
  <si>
    <t xml:space="preserve">Durante el mes de septiembre se avanzó en el cubrimiento de cartografía urbana y rural de los municipios de Paz de Río (Boyacá), Cubarral (Meta), Trinidad (Casanare), Colombia (Huila). Lo anterior, está en proceso de validación de control de calidad y alistamiento de los productos para su versión oficial. </t>
  </si>
  <si>
    <t>Durante el mes de septiembre se adelantaron las siguientes actividades en los municipios que se describen a continuación, en los cuales se viene implementando el proceso de gestión catastral durante la vigencia 2021: *Villavicencio: Identificación predial de 80.335 predios
*Popayán: Identificación predial de 81.923 predios 
*Arauquita: Se continúa con el proceso de identificación predial de 240 predios. Este proceso se reanudó el 27 de septiembre
*8 municipios de Boyacá: Se continúa con el proceso de identificación predial de 3.823 predios reconocidos en los municipios de Socha, Socotá, Sativasur, Tasco, Betéitiva, Busbanzá y Corrales. Pendientes por aprobación control de calidad IGAC. 
*Rioblanco (Tolima) El Guamo y Córdoba (Bolívar): identificación predial de 1.833 predios. 
*Ricaurte: Identificación predial de 1.294 predios. 
*Tarapaca: En programación del plan de trabajo, en consecución de insumos cartográficos y registrables y de información de los baldíos. *Gachancipá:  Se inició proceso de actualización catastral rural el 27 de septiembre. 
*San Carlos: Adecuación sede programada entre el 4 y 6 de octubre.
*La Tebaida y Villarrica: Se realizó el plan de trabajo, personal en proceso de reclutamiento y en busca de sede.</t>
  </si>
  <si>
    <t>Durante el mes de septiembre, se realizaron 3 caracterizaciones territoriales de los municipios de Montecristo (Bolívar), Trinidad (Casanare) y San Juan de Arama (Meta), correspondientes a 621.808,9 hectáreas.</t>
  </si>
  <si>
    <t>Al mes de septiembre fueron aprobados por OCAD - Paz, cuatro (4) proyectos de inversión para la implementación del catastro con enfoque multipropósito en los municipios de Orito, Simití, Morales y Cantagallo; con una asignación presupuestal de aproximadamente 11.700 millones de pesos. Por su parte, el IGAC continua brindando asistencia técnica a dichos municipios en la culminación del proceso de formulación de los proyectos. Adicionalmente, se brindó asistencia técnica desde el IGAC, a 16 municipios adicionales, interesados en adelantar el proceso de gestión catastral a través de la formulación de proyectos tipo con cargo al presupuesto de regalías.</t>
  </si>
  <si>
    <t>Se finalizó la elaboración de los documentos del proceso de estructuración, selección y contratación de la fábrica de software encargada de apoyar la etapa de desarrollo del SINIC/RDM. De acuerdo con lo anterior, se presentaron los Términos de Referencia (TDR) al Banco Mundial, obteniendo la aprobación por parte del banco. De esta manera, se continua con al etapa precontractual. Se dio por terminado el proceso de estructuración de los términos de Referencia (TDR) para la selección y contratación de los consultores individuales, los cuales desarrollarán actividades previas y/o complementarias a la llegada de la Fábrica de Software. De acuerdo con lo anterior, se presentaron dichos términos al Banco Mundial, obteniendo de igual manera, la aprobación por parte del Banco en mención. Se continua con el proceso de levantamiento de información para incluir nuevas funcionalidades y/o mejoras al Sistema Nacional Catastral, como actividad preparatoria al inicio de la ejecución de los contratos de fabrica de software.</t>
  </si>
  <si>
    <t>Durante el mes de septiembre se habilitaron como Gestores Catastrales a los municipios de Sabanalarga-Atlántico, Girardot-Cundinamarca y Sahagún-Córdoba.
Al mes de septiembre de 2021 se logró la habilitación de 31 gestores catastrales, obteniendo un avance de 155% de la meta del cuatrenio, establecida en 20 gestores catastrales habilitados.</t>
  </si>
  <si>
    <t>En el mes de Septiembre  se realizó el monitoreo automático de 526 geoservicios los cuales se encuentran operando plenamente, este monitoreo se realizó mediante el aplicativo desarrollado para la administración de geoservicios.
Así mismo, se realizó la gestión e incorporación de 13 nuevos geoservicios suministrados por diferentes entidades como el Departamento Administrativo Nacional de Estadística (DANE), Infraestructura de Datos Espaciales para el Distrito Capital (IDECA), entre otros , esto para un total de 539 geoservicios, los cuales se encuentran plenamente operando.
Para la vigencia 2021 se programó una meta de 472 geoservicios publicados y disponibles, se ha logrado generar 539 geoservicios publicados y disponibles teniendo un cumplimiento del 114,2% de lo inicialmente programado.
Lo anterior significa que para el cuatrienio se logró a la fecha  un  avance del 108% de avance.</t>
  </si>
  <si>
    <t>En el mes de septiembre se avanza en la creación del formulario para  actualizar una solicitud en el módulo alfanumérico y en el desarrollo de la funcionalidad buscador de solicitudes en el visor geográfico del Sistema de Información SIG Indígenas.
Así mismo, se realizó el curso de Fundamentos IDE a los miembros definidos por la Comisión Nacional de Territorios Indígenas – CNTI a través de la plataforma Telecentro Regional.
Por otra parte, para este mes no se presentaron incidencias por la Comisión Nacional de Territorios Indígenas - CNTI sobre fallas en el Sistema de Información Geográfica.
Para la vigencia 2021 se programó una meta del 30% de la implementación del Programa Marco de Operación del Sistema de Información Geográfica -SIG Indígena, por lo que a la fecha se lleva un avance acumulado del 23,20% de la meta programada.
Para el cuatrienio se tiene programada una meta del 100% de la implementación del Programa Marco de Operación del Sistema de Información Geográfica -SIG Indígena, por lo que a la fecha se lleva un avance acumulado del 63,20% de la meta del cuatrienio programada.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</si>
</sst>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3" formatCode="_-* #,##0.00_-;\-* #,##0.00_-;_-* &quot;-&quot;??_-;_-@_-"/>
    <numFmt numFmtId="164" formatCode="0.0%"/>
    <numFmt numFmtId="165" formatCode="_-* #,##0_-;\-* #,##0_-;_-* &quot;-&quot;??_-;_-@_-"/>
    <numFmt numFmtId="166" formatCode="[$-10409]#,##0.00"/>
    <numFmt numFmtId="167" formatCode="_-* #,##0.0_-;\-* #,##0.0_-;_-* &quot;-&quot;??_-;_-@_-"/>
  </numFmts>
  <fonts count="52" x14ac:knownFonts="1">
    <font>
      <sz val="11"/>
      <color theme="1"/>
      <name val="Calibri"/>
      <family val="2"/>
      <scheme val="minor"/>
    </font>
    <font>
      <sz val="11"/>
      <color theme="1"/>
      <name val="Calibri"/>
      <family val="2"/>
      <scheme val="minor"/>
    </font>
    <font>
      <sz val="12"/>
      <color theme="1"/>
      <name val="Arial"/>
      <family val="2"/>
    </font>
    <font>
      <sz val="10"/>
      <name val="Arial"/>
      <family val="2"/>
    </font>
    <font>
      <b/>
      <sz val="14"/>
      <name val="Arial"/>
      <family val="2"/>
    </font>
    <font>
      <b/>
      <sz val="16"/>
      <color theme="1"/>
      <name val="Arial"/>
      <family val="2"/>
    </font>
    <font>
      <b/>
      <sz val="14"/>
      <color theme="1"/>
      <name val="Arial"/>
      <family val="2"/>
    </font>
    <font>
      <sz val="14"/>
      <color theme="1"/>
      <name val="Arial"/>
      <family val="2"/>
    </font>
    <font>
      <sz val="20"/>
      <color theme="1"/>
      <name val="Arial"/>
      <family val="2"/>
    </font>
    <font>
      <sz val="8"/>
      <name val="Calibri"/>
      <family val="2"/>
      <scheme val="minor"/>
    </font>
    <font>
      <sz val="12"/>
      <name val="Arial"/>
      <family val="2"/>
    </font>
    <font>
      <sz val="11"/>
      <color rgb="FF000000"/>
      <name val="Calibri"/>
      <family val="2"/>
      <scheme val="minor"/>
    </font>
    <font>
      <sz val="16"/>
      <color theme="1"/>
      <name val="Arial"/>
      <family val="2"/>
    </font>
    <font>
      <sz val="11"/>
      <color rgb="FF000000"/>
      <name val="Arial"/>
      <family val="2"/>
    </font>
    <font>
      <sz val="12"/>
      <color rgb="FF000000"/>
      <name val="Arial"/>
      <family val="2"/>
    </font>
    <font>
      <b/>
      <sz val="11"/>
      <color theme="1"/>
      <name val="Calibri"/>
      <family val="2"/>
      <scheme val="minor"/>
    </font>
    <font>
      <sz val="9"/>
      <color rgb="FF000000"/>
      <name val="Arial"/>
      <family val="2"/>
    </font>
    <font>
      <i/>
      <sz val="11"/>
      <color rgb="FF000000"/>
      <name val="Calibri"/>
      <family val="2"/>
      <scheme val="minor"/>
    </font>
    <font>
      <sz val="9"/>
      <color indexed="81"/>
      <name val="Tahoma"/>
      <family val="2"/>
    </font>
    <font>
      <b/>
      <sz val="9"/>
      <color indexed="81"/>
      <name val="Tahoma"/>
      <family val="2"/>
    </font>
    <font>
      <b/>
      <sz val="12"/>
      <color theme="1"/>
      <name val="Arial"/>
      <family val="2"/>
    </font>
    <font>
      <b/>
      <sz val="9"/>
      <color rgb="FF000000"/>
      <name val="Arial"/>
      <family val="2"/>
    </font>
    <font>
      <b/>
      <sz val="10"/>
      <name val="Arial"/>
      <family val="2"/>
    </font>
    <font>
      <b/>
      <sz val="9"/>
      <color indexed="8"/>
      <name val="Tahoma"/>
      <family val="2"/>
    </font>
    <font>
      <sz val="8"/>
      <color indexed="8"/>
      <name val="Tahoma"/>
      <family val="2"/>
    </font>
    <font>
      <b/>
      <sz val="8"/>
      <color indexed="8"/>
      <name val="Tahoma"/>
      <family val="2"/>
    </font>
    <font>
      <b/>
      <sz val="10"/>
      <color theme="1"/>
      <name val="Arial"/>
      <family val="2"/>
    </font>
    <font>
      <b/>
      <sz val="9"/>
      <color theme="1"/>
      <name val="Tahoma"/>
      <family val="2"/>
    </font>
    <font>
      <sz val="8"/>
      <color theme="1"/>
      <name val="Tahoma"/>
      <family val="2"/>
    </font>
    <font>
      <b/>
      <sz val="8"/>
      <color theme="1"/>
      <name val="Tahoma"/>
      <family val="2"/>
    </font>
    <font>
      <sz val="14"/>
      <name val="Arial"/>
      <family val="2"/>
    </font>
    <font>
      <sz val="14"/>
      <color rgb="FF000000"/>
      <name val="Arial"/>
      <family val="2"/>
    </font>
    <font>
      <sz val="14"/>
      <color rgb="FFFF0000"/>
      <name val="Arial"/>
      <family val="2"/>
    </font>
    <font>
      <b/>
      <sz val="48"/>
      <color theme="1"/>
      <name val="Arial"/>
      <family val="2"/>
    </font>
    <font>
      <b/>
      <sz val="16"/>
      <name val="Arial"/>
      <family val="2"/>
    </font>
    <font>
      <b/>
      <sz val="25"/>
      <color theme="0"/>
      <name val="Arial"/>
      <family val="2"/>
    </font>
    <font>
      <b/>
      <sz val="25"/>
      <color theme="1"/>
      <name val="Arial"/>
      <family val="2"/>
    </font>
    <font>
      <sz val="14"/>
      <color indexed="81"/>
      <name val="Tahoma"/>
      <family val="2"/>
    </font>
    <font>
      <b/>
      <sz val="20"/>
      <color theme="0"/>
      <name val="Arial"/>
      <family val="2"/>
    </font>
    <font>
      <b/>
      <sz val="20"/>
      <color theme="1"/>
      <name val="Arial"/>
      <family val="2"/>
    </font>
    <font>
      <b/>
      <sz val="22"/>
      <color theme="1"/>
      <name val="Arial"/>
      <family val="2"/>
    </font>
    <font>
      <b/>
      <sz val="16"/>
      <color theme="0"/>
      <name val="Arial"/>
      <family val="2"/>
    </font>
    <font>
      <b/>
      <sz val="18"/>
      <color theme="1"/>
      <name val="Arial"/>
      <family val="2"/>
    </font>
    <font>
      <b/>
      <sz val="9"/>
      <color theme="1"/>
      <name val="Arial Narrow"/>
      <family val="2"/>
    </font>
    <font>
      <b/>
      <sz val="9"/>
      <name val="Arial Narrow"/>
      <family val="2"/>
    </font>
    <font>
      <sz val="9"/>
      <color theme="1"/>
      <name val="Arial Narrow"/>
      <family val="2"/>
    </font>
    <font>
      <sz val="9"/>
      <color indexed="81"/>
      <name val="Tahoma"/>
      <charset val="1"/>
    </font>
    <font>
      <b/>
      <sz val="9"/>
      <color indexed="81"/>
      <name val="Tahoma"/>
      <charset val="1"/>
    </font>
    <font>
      <b/>
      <sz val="24"/>
      <color theme="1"/>
      <name val="Arial"/>
      <family val="2"/>
    </font>
    <font>
      <b/>
      <sz val="12"/>
      <color indexed="81"/>
      <name val="Tahoma"/>
      <family val="2"/>
    </font>
    <font>
      <sz val="12"/>
      <color indexed="81"/>
      <name val="Tahoma"/>
      <family val="2"/>
    </font>
    <font>
      <sz val="11"/>
      <color theme="1"/>
      <name val="Arial"/>
      <family val="2"/>
    </font>
  </fonts>
  <fills count="2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theme="8" tint="0.39997558519241921"/>
        <bgColor indexed="64"/>
      </patternFill>
    </fill>
    <fill>
      <patternFill patternType="lightUp">
        <bgColor rgb="FFD2D2D2"/>
      </patternFill>
    </fill>
    <fill>
      <patternFill patternType="darkUp">
        <fgColor rgb="FF808080"/>
        <bgColor rgb="FFCACACA"/>
      </patternFill>
    </fill>
    <fill>
      <patternFill patternType="solid">
        <fgColor theme="4" tint="0.59999389629810485"/>
        <bgColor indexed="64"/>
      </patternFill>
    </fill>
    <fill>
      <patternFill patternType="solid">
        <fgColor theme="0"/>
        <bgColor indexed="0"/>
      </patternFill>
    </fill>
    <fill>
      <patternFill patternType="solid">
        <fgColor theme="4" tint="0.79998168889431442"/>
        <bgColor indexed="64"/>
      </patternFill>
    </fill>
    <fill>
      <patternFill patternType="solid">
        <fgColor theme="7" tint="-0.249977111117893"/>
        <bgColor indexed="64"/>
      </patternFill>
    </fill>
    <fill>
      <patternFill patternType="solid">
        <fgColor rgb="FFFFFF00"/>
        <bgColor indexed="64"/>
      </patternFill>
    </fill>
    <fill>
      <patternFill patternType="solid">
        <fgColor rgb="FFFF0000"/>
        <bgColor indexed="64"/>
      </patternFill>
    </fill>
    <fill>
      <patternFill patternType="solid">
        <fgColor rgb="FFFFFF00"/>
        <bgColor indexed="0"/>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8" tint="-0.249977111117893"/>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rgb="FF000000"/>
      </left>
      <right/>
      <top/>
      <bottom style="thin">
        <color rgb="FF000000"/>
      </bottom>
      <diagonal/>
    </border>
    <border>
      <left style="medium">
        <color rgb="FFBFBFBF"/>
      </left>
      <right style="medium">
        <color rgb="FFBFBFBF"/>
      </right>
      <top style="medium">
        <color rgb="FFBFBFBF"/>
      </top>
      <bottom/>
      <diagonal/>
    </border>
    <border>
      <left style="medium">
        <color rgb="FFBFBFBF"/>
      </left>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style="thin">
        <color indexed="64"/>
      </right>
      <top/>
      <bottom style="medium">
        <color indexed="64"/>
      </bottom>
      <diagonal/>
    </border>
  </borders>
  <cellStyleXfs count="5">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xf numFmtId="42" fontId="1" fillId="0" borderId="0" applyFont="0" applyFill="0" applyBorder="0" applyAlignment="0" applyProtection="0"/>
  </cellStyleXfs>
  <cellXfs count="444">
    <xf numFmtId="0" fontId="0" fillId="0" borderId="0" xfId="0"/>
    <xf numFmtId="0" fontId="2" fillId="0" borderId="0" xfId="0" applyFont="1"/>
    <xf numFmtId="0" fontId="2" fillId="0" borderId="0" xfId="0" applyFont="1" applyBorder="1"/>
    <xf numFmtId="0" fontId="2" fillId="0" borderId="0" xfId="0" applyFont="1" applyFill="1"/>
    <xf numFmtId="0" fontId="7" fillId="3" borderId="1" xfId="0" applyFont="1" applyFill="1" applyBorder="1" applyAlignment="1">
      <alignment horizontal="center" vertical="center"/>
    </xf>
    <xf numFmtId="9" fontId="7" fillId="0" borderId="1" xfId="1" applyFont="1" applyFill="1" applyBorder="1" applyAlignment="1">
      <alignment horizontal="center" vertical="center"/>
    </xf>
    <xf numFmtId="0" fontId="7" fillId="0" borderId="1" xfId="0" applyFont="1" applyFill="1" applyBorder="1" applyAlignment="1">
      <alignment horizontal="left" vertical="center" wrapText="1"/>
    </xf>
    <xf numFmtId="9" fontId="7" fillId="3" borderId="1" xfId="0" applyNumberFormat="1" applyFont="1" applyFill="1" applyBorder="1" applyAlignment="1">
      <alignment horizontal="center" vertical="center" wrapText="1"/>
    </xf>
    <xf numFmtId="164" fontId="7" fillId="0" borderId="1" xfId="1" applyNumberFormat="1" applyFont="1" applyFill="1" applyBorder="1" applyAlignment="1">
      <alignment horizontal="center" vertical="center"/>
    </xf>
    <xf numFmtId="0" fontId="7" fillId="0" borderId="9" xfId="0" applyFont="1" applyFill="1" applyBorder="1" applyAlignment="1">
      <alignment horizontal="justify" vertical="center" wrapText="1"/>
    </xf>
    <xf numFmtId="0" fontId="7" fillId="3" borderId="1" xfId="0" applyFont="1" applyFill="1" applyBorder="1" applyAlignment="1">
      <alignment horizontal="left" vertical="center" wrapText="1" readingOrder="1"/>
    </xf>
    <xf numFmtId="0" fontId="7" fillId="0" borderId="1" xfId="0" applyFont="1" applyFill="1" applyBorder="1" applyAlignment="1">
      <alignment horizontal="left" vertical="center"/>
    </xf>
    <xf numFmtId="9" fontId="8" fillId="3" borderId="1" xfId="0" applyNumberFormat="1" applyFont="1" applyFill="1" applyBorder="1" applyAlignment="1">
      <alignment horizontal="center" vertical="center"/>
    </xf>
    <xf numFmtId="1" fontId="7" fillId="0" borderId="1" xfId="1" applyNumberFormat="1" applyFont="1" applyFill="1" applyBorder="1" applyAlignment="1">
      <alignment horizontal="center" vertical="center"/>
    </xf>
    <xf numFmtId="164" fontId="7" fillId="3" borderId="1" xfId="1" applyNumberFormat="1" applyFont="1" applyFill="1" applyBorder="1" applyAlignment="1">
      <alignment horizontal="center" vertical="center"/>
    </xf>
    <xf numFmtId="9" fontId="7" fillId="0" borderId="1" xfId="1" applyNumberFormat="1" applyFont="1" applyFill="1" applyBorder="1" applyAlignment="1">
      <alignment horizontal="center" vertical="center"/>
    </xf>
    <xf numFmtId="0" fontId="7" fillId="0" borderId="1" xfId="0" applyFont="1" applyFill="1" applyBorder="1" applyAlignment="1">
      <alignment horizontal="center" vertical="center"/>
    </xf>
    <xf numFmtId="0" fontId="2" fillId="3" borderId="1" xfId="0" applyFont="1" applyFill="1" applyBorder="1" applyAlignment="1">
      <alignment horizontal="justify" vertical="center" wrapText="1"/>
    </xf>
    <xf numFmtId="164" fontId="2" fillId="0" borderId="1" xfId="0" applyNumberFormat="1" applyFont="1" applyBorder="1" applyAlignment="1">
      <alignment horizontal="justify" vertical="center" wrapText="1"/>
    </xf>
    <xf numFmtId="0" fontId="2" fillId="0" borderId="0" xfId="0" applyFont="1" applyBorder="1" applyAlignment="1"/>
    <xf numFmtId="0" fontId="7" fillId="0" borderId="1" xfId="0" applyFont="1" applyFill="1" applyBorder="1" applyAlignment="1">
      <alignment horizontal="center" vertical="center" wrapText="1"/>
    </xf>
    <xf numFmtId="0" fontId="7" fillId="0" borderId="9" xfId="0" applyFont="1" applyFill="1" applyBorder="1" applyAlignment="1">
      <alignment vertical="center" wrapText="1"/>
    </xf>
    <xf numFmtId="0" fontId="7" fillId="0" borderId="3" xfId="0" applyFont="1" applyFill="1" applyBorder="1" applyAlignment="1">
      <alignment vertical="center" wrapText="1"/>
    </xf>
    <xf numFmtId="1" fontId="7" fillId="0" borderId="2" xfId="1" applyNumberFormat="1" applyFont="1" applyFill="1" applyBorder="1" applyAlignment="1">
      <alignment horizontal="center" vertical="center"/>
    </xf>
    <xf numFmtId="0" fontId="2" fillId="3" borderId="2" xfId="0" applyFont="1" applyFill="1" applyBorder="1" applyAlignment="1">
      <alignment horizontal="justify" vertical="center" wrapText="1"/>
    </xf>
    <xf numFmtId="0" fontId="7" fillId="0" borderId="1" xfId="0" applyFont="1" applyBorder="1" applyAlignment="1">
      <alignment vertical="center" wrapText="1"/>
    </xf>
    <xf numFmtId="0" fontId="7" fillId="0" borderId="1" xfId="0" applyFont="1" applyBorder="1" applyAlignment="1">
      <alignment horizontal="center" vertical="center"/>
    </xf>
    <xf numFmtId="9" fontId="7" fillId="0" borderId="1" xfId="0" applyNumberFormat="1" applyFont="1" applyBorder="1" applyAlignment="1">
      <alignment horizontal="center" vertical="center"/>
    </xf>
    <xf numFmtId="9" fontId="7" fillId="0" borderId="1" xfId="0" applyNumberFormat="1" applyFont="1" applyFill="1" applyBorder="1" applyAlignment="1">
      <alignment horizontal="center" vertical="center"/>
    </xf>
    <xf numFmtId="0" fontId="2" fillId="0" borderId="0" xfId="0" applyFont="1" applyBorder="1" applyAlignment="1"/>
    <xf numFmtId="9" fontId="7" fillId="3" borderId="14" xfId="0" applyNumberFormat="1" applyFont="1" applyFill="1" applyBorder="1" applyAlignment="1">
      <alignment horizontal="center" vertical="center" wrapText="1"/>
    </xf>
    <xf numFmtId="0" fontId="7" fillId="0" borderId="9"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justify" vertical="center" wrapText="1"/>
    </xf>
    <xf numFmtId="9" fontId="7" fillId="0" borderId="9" xfId="0" applyNumberFormat="1" applyFont="1" applyFill="1" applyBorder="1" applyAlignment="1">
      <alignment horizontal="center" vertical="center" wrapText="1"/>
    </xf>
    <xf numFmtId="1" fontId="7" fillId="0" borderId="3" xfId="0" applyNumberFormat="1" applyFont="1" applyFill="1" applyBorder="1" applyAlignment="1">
      <alignment horizontal="center" vertical="center" wrapText="1"/>
    </xf>
    <xf numFmtId="0" fontId="7" fillId="0" borderId="3" xfId="0" applyFont="1" applyFill="1" applyBorder="1" applyAlignment="1">
      <alignment horizontal="left" vertical="center"/>
    </xf>
    <xf numFmtId="0" fontId="7" fillId="0" borderId="3" xfId="0" applyFont="1" applyFill="1" applyBorder="1" applyAlignment="1">
      <alignment horizontal="center" vertical="center"/>
    </xf>
    <xf numFmtId="0" fontId="7" fillId="3" borderId="16" xfId="0" applyFont="1" applyFill="1" applyBorder="1" applyAlignment="1">
      <alignment horizontal="justify" vertical="center" wrapText="1"/>
    </xf>
    <xf numFmtId="0" fontId="2" fillId="3" borderId="11" xfId="0" applyFont="1" applyFill="1" applyBorder="1" applyAlignment="1">
      <alignment horizontal="justify" vertical="center" wrapText="1"/>
    </xf>
    <xf numFmtId="0" fontId="2" fillId="0" borderId="11" xfId="0" applyFont="1" applyFill="1" applyBorder="1" applyAlignment="1">
      <alignment vertical="center" wrapText="1"/>
    </xf>
    <xf numFmtId="0" fontId="2" fillId="3" borderId="17" xfId="0" applyFont="1" applyFill="1" applyBorder="1" applyAlignment="1">
      <alignment horizontal="justify" vertical="center" wrapText="1"/>
    </xf>
    <xf numFmtId="0" fontId="4" fillId="2" borderId="12" xfId="0" applyFont="1" applyFill="1" applyBorder="1" applyAlignment="1">
      <alignment horizontal="center" vertical="center" wrapText="1"/>
    </xf>
    <xf numFmtId="0" fontId="2" fillId="0" borderId="1" xfId="0" applyFont="1" applyFill="1" applyBorder="1" applyAlignment="1">
      <alignment vertical="center" wrapText="1"/>
    </xf>
    <xf numFmtId="0" fontId="7" fillId="3" borderId="9" xfId="0" applyFont="1" applyFill="1" applyBorder="1" applyAlignment="1">
      <alignment horizontal="center" vertical="center"/>
    </xf>
    <xf numFmtId="9" fontId="7" fillId="0" borderId="9" xfId="1" applyNumberFormat="1" applyFont="1" applyFill="1" applyBorder="1" applyAlignment="1">
      <alignment horizontal="center" vertical="center"/>
    </xf>
    <xf numFmtId="9" fontId="7" fillId="0" borderId="9" xfId="1" applyFont="1" applyFill="1" applyBorder="1" applyAlignment="1">
      <alignment horizontal="center" vertical="center"/>
    </xf>
    <xf numFmtId="0" fontId="7" fillId="3" borderId="14" xfId="0" applyFont="1" applyFill="1" applyBorder="1" applyAlignment="1">
      <alignment horizontal="left" vertical="center" wrapText="1"/>
    </xf>
    <xf numFmtId="164" fontId="7" fillId="0" borderId="9" xfId="1" applyNumberFormat="1" applyFont="1" applyFill="1" applyBorder="1" applyAlignment="1">
      <alignment horizontal="center" vertical="center"/>
    </xf>
    <xf numFmtId="164" fontId="7" fillId="3" borderId="9" xfId="1" applyNumberFormat="1" applyFont="1" applyFill="1" applyBorder="1" applyAlignment="1">
      <alignment horizontal="center" vertical="center"/>
    </xf>
    <xf numFmtId="9" fontId="8" fillId="3" borderId="9" xfId="0" applyNumberFormat="1" applyFont="1" applyFill="1" applyBorder="1" applyAlignment="1">
      <alignment horizontal="center" vertical="center"/>
    </xf>
    <xf numFmtId="9" fontId="7" fillId="0" borderId="9" xfId="3" applyNumberFormat="1" applyFont="1" applyFill="1" applyBorder="1" applyAlignment="1">
      <alignment horizontal="center" vertical="center"/>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22" xfId="0" applyFont="1" applyFill="1" applyBorder="1" applyAlignment="1">
      <alignment horizontal="center" vertical="center" wrapText="1"/>
    </xf>
    <xf numFmtId="10" fontId="7" fillId="0" borderId="9" xfId="3" applyNumberFormat="1" applyFont="1" applyFill="1" applyBorder="1" applyAlignment="1">
      <alignment horizontal="center" vertical="center"/>
    </xf>
    <xf numFmtId="0" fontId="4" fillId="2" borderId="21" xfId="0" applyFont="1" applyFill="1" applyBorder="1" applyAlignment="1">
      <alignment horizontal="center" vertical="center" wrapText="1"/>
    </xf>
    <xf numFmtId="0" fontId="6" fillId="4" borderId="21" xfId="0" applyFont="1" applyFill="1" applyBorder="1" applyAlignment="1">
      <alignment horizontal="center" vertical="center"/>
    </xf>
    <xf numFmtId="0" fontId="6" fillId="4" borderId="21" xfId="0" applyFont="1" applyFill="1" applyBorder="1" applyAlignment="1">
      <alignment horizontal="center" vertical="center" wrapText="1"/>
    </xf>
    <xf numFmtId="0" fontId="7" fillId="0" borderId="9" xfId="0" applyFont="1" applyBorder="1" applyAlignment="1">
      <alignment vertical="center" wrapText="1"/>
    </xf>
    <xf numFmtId="9" fontId="7" fillId="3" borderId="9" xfId="0" applyNumberFormat="1" applyFont="1" applyFill="1" applyBorder="1" applyAlignment="1">
      <alignment horizontal="center" vertical="center" wrapText="1"/>
    </xf>
    <xf numFmtId="0" fontId="7" fillId="0" borderId="9" xfId="0" applyFont="1" applyBorder="1" applyAlignment="1">
      <alignment wrapText="1"/>
    </xf>
    <xf numFmtId="9" fontId="8" fillId="3" borderId="9" xfId="1" applyFont="1" applyFill="1" applyBorder="1" applyAlignment="1">
      <alignment horizontal="center" vertical="center"/>
    </xf>
    <xf numFmtId="0" fontId="7" fillId="0" borderId="9" xfId="0" applyFont="1" applyBorder="1" applyAlignment="1">
      <alignment horizontal="center" wrapText="1"/>
    </xf>
    <xf numFmtId="0" fontId="7" fillId="0" borderId="9" xfId="0" applyFont="1" applyBorder="1" applyAlignment="1">
      <alignment horizontal="center" vertical="center" wrapText="1"/>
    </xf>
    <xf numFmtId="165" fontId="7" fillId="3" borderId="9" xfId="3" applyNumberFormat="1" applyFont="1" applyFill="1" applyBorder="1" applyAlignment="1">
      <alignment horizontal="center" vertical="center" wrapText="1"/>
    </xf>
    <xf numFmtId="165" fontId="7" fillId="3" borderId="9" xfId="3" applyNumberFormat="1" applyFont="1" applyFill="1" applyBorder="1" applyAlignment="1">
      <alignment vertical="center" wrapText="1"/>
    </xf>
    <xf numFmtId="0" fontId="2" fillId="3" borderId="14"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7" fillId="3" borderId="14" xfId="0" applyFont="1" applyFill="1" applyBorder="1" applyAlignment="1">
      <alignment horizontal="justify" vertical="center" wrapText="1"/>
    </xf>
    <xf numFmtId="0" fontId="7" fillId="3" borderId="9" xfId="0" applyFont="1" applyFill="1" applyBorder="1" applyAlignment="1">
      <alignment horizontal="justify" vertical="center" wrapText="1"/>
    </xf>
    <xf numFmtId="0" fontId="2" fillId="3" borderId="9"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7" fillId="3" borderId="1" xfId="0" applyFont="1" applyFill="1" applyBorder="1" applyAlignment="1">
      <alignment vertical="center" wrapText="1"/>
    </xf>
    <xf numFmtId="1" fontId="7"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justify" wrapText="1"/>
    </xf>
    <xf numFmtId="0" fontId="10" fillId="0" borderId="1" xfId="0" applyFont="1" applyBorder="1" applyAlignment="1">
      <alignment vertical="center" wrapText="1"/>
    </xf>
    <xf numFmtId="9" fontId="2" fillId="0" borderId="0" xfId="1" applyFont="1" applyBorder="1"/>
    <xf numFmtId="0" fontId="11" fillId="0" borderId="33" xfId="0" applyFont="1" applyBorder="1" applyAlignment="1">
      <alignment horizontal="left" vertical="center" wrapText="1"/>
    </xf>
    <xf numFmtId="164" fontId="12" fillId="3" borderId="14" xfId="0" applyNumberFormat="1" applyFont="1" applyFill="1" applyBorder="1" applyAlignment="1">
      <alignment horizontal="center" vertical="center"/>
    </xf>
    <xf numFmtId="9" fontId="12" fillId="3" borderId="11" xfId="0" applyNumberFormat="1" applyFont="1" applyFill="1" applyBorder="1" applyAlignment="1">
      <alignment horizontal="center" vertical="center"/>
    </xf>
    <xf numFmtId="9" fontId="2" fillId="0" borderId="0" xfId="1" applyFont="1" applyFill="1"/>
    <xf numFmtId="4" fontId="2" fillId="0" borderId="0" xfId="0" applyNumberFormat="1" applyFont="1" applyFill="1"/>
    <xf numFmtId="4" fontId="13" fillId="0" borderId="0" xfId="0" applyNumberFormat="1" applyFont="1"/>
    <xf numFmtId="0" fontId="14" fillId="0" borderId="1" xfId="0" applyFont="1" applyBorder="1" applyAlignment="1">
      <alignment horizontal="left" vertical="center" wrapText="1"/>
    </xf>
    <xf numFmtId="0" fontId="2" fillId="0" borderId="1" xfId="0" applyFont="1" applyBorder="1" applyAlignment="1">
      <alignment horizontal="left" vertical="center" wrapText="1"/>
    </xf>
    <xf numFmtId="0" fontId="14" fillId="0" borderId="1" xfId="0" applyFont="1" applyBorder="1" applyAlignment="1">
      <alignment horizontal="left" vertical="top" wrapText="1"/>
    </xf>
    <xf numFmtId="0" fontId="14" fillId="0" borderId="37" xfId="0" applyFont="1" applyBorder="1" applyAlignment="1">
      <alignment horizontal="left" vertical="center" wrapText="1"/>
    </xf>
    <xf numFmtId="42" fontId="2" fillId="0" borderId="0" xfId="4" applyFont="1" applyBorder="1"/>
    <xf numFmtId="9" fontId="2" fillId="0" borderId="0" xfId="0" applyNumberFormat="1" applyFont="1" applyFill="1"/>
    <xf numFmtId="0" fontId="2" fillId="0" borderId="1" xfId="0" applyFont="1" applyBorder="1" applyAlignment="1">
      <alignment horizontal="left" vertical="top" wrapText="1"/>
    </xf>
    <xf numFmtId="4" fontId="0" fillId="0" borderId="0" xfId="0" applyNumberFormat="1"/>
    <xf numFmtId="4" fontId="16" fillId="0" borderId="0" xfId="0" applyNumberFormat="1" applyFont="1"/>
    <xf numFmtId="10" fontId="2" fillId="0" borderId="0" xfId="0" applyNumberFormat="1" applyFont="1" applyFill="1"/>
    <xf numFmtId="3" fontId="17" fillId="0" borderId="0" xfId="0" applyNumberFormat="1" applyFont="1"/>
    <xf numFmtId="164" fontId="2" fillId="0" borderId="0" xfId="1" applyNumberFormat="1" applyFont="1" applyFill="1"/>
    <xf numFmtId="10" fontId="2" fillId="0" borderId="1" xfId="0" applyNumberFormat="1" applyFont="1" applyFill="1" applyBorder="1" applyAlignment="1">
      <alignment vertical="center" wrapText="1"/>
    </xf>
    <xf numFmtId="0" fontId="16" fillId="0" borderId="41" xfId="0" applyFont="1" applyBorder="1" applyAlignment="1">
      <alignment horizontal="center" vertical="center"/>
    </xf>
    <xf numFmtId="10" fontId="16" fillId="0" borderId="42" xfId="0" applyNumberFormat="1" applyFont="1" applyBorder="1" applyAlignment="1">
      <alignment horizontal="center" vertical="center"/>
    </xf>
    <xf numFmtId="4" fontId="16" fillId="0" borderId="42" xfId="0" applyNumberFormat="1" applyFont="1" applyBorder="1" applyAlignment="1">
      <alignment horizontal="right" vertical="center"/>
    </xf>
    <xf numFmtId="0" fontId="16" fillId="8" borderId="42" xfId="0" applyFont="1" applyFill="1" applyBorder="1" applyAlignment="1">
      <alignment horizontal="center" vertical="center"/>
    </xf>
    <xf numFmtId="0" fontId="16" fillId="8" borderId="42" xfId="0" applyFont="1" applyFill="1" applyBorder="1" applyAlignment="1">
      <alignment horizontal="right" vertical="center"/>
    </xf>
    <xf numFmtId="0" fontId="16" fillId="8" borderId="42" xfId="0" applyFont="1" applyFill="1" applyBorder="1" applyAlignment="1">
      <alignment horizontal="right" vertical="center" wrapText="1"/>
    </xf>
    <xf numFmtId="9" fontId="16" fillId="0" borderId="42" xfId="0" applyNumberFormat="1" applyFont="1" applyBorder="1" applyAlignment="1">
      <alignment horizontal="center" vertical="center"/>
    </xf>
    <xf numFmtId="0" fontId="16" fillId="9" borderId="42" xfId="0" applyFont="1" applyFill="1" applyBorder="1" applyAlignment="1">
      <alignment horizontal="center" vertical="center" wrapText="1"/>
    </xf>
    <xf numFmtId="3" fontId="16" fillId="0" borderId="42" xfId="0" applyNumberFormat="1" applyFont="1" applyBorder="1" applyAlignment="1">
      <alignment horizontal="right" vertical="center"/>
    </xf>
    <xf numFmtId="10" fontId="16" fillId="0" borderId="42" xfId="0" applyNumberFormat="1" applyFont="1" applyBorder="1" applyAlignment="1">
      <alignment horizontal="right" vertical="center" wrapText="1"/>
    </xf>
    <xf numFmtId="4" fontId="16" fillId="0" borderId="42" xfId="0" applyNumberFormat="1" applyFont="1" applyBorder="1" applyAlignment="1">
      <alignment horizontal="right" vertical="center" wrapText="1"/>
    </xf>
    <xf numFmtId="0" fontId="21" fillId="10" borderId="42" xfId="0" applyFont="1" applyFill="1" applyBorder="1" applyAlignment="1">
      <alignment horizontal="center" vertical="center"/>
    </xf>
    <xf numFmtId="0" fontId="21" fillId="10" borderId="42" xfId="0" applyFont="1" applyFill="1" applyBorder="1" applyAlignment="1">
      <alignment horizontal="center" vertical="center" wrapText="1"/>
    </xf>
    <xf numFmtId="0" fontId="21" fillId="0" borderId="41" xfId="0" applyFont="1" applyBorder="1" applyAlignment="1">
      <alignment horizontal="center" vertical="center"/>
    </xf>
    <xf numFmtId="0" fontId="22" fillId="3" borderId="1" xfId="0" applyFont="1" applyFill="1" applyBorder="1"/>
    <xf numFmtId="0" fontId="0" fillId="3" borderId="1" xfId="0" applyFill="1" applyBorder="1"/>
    <xf numFmtId="0" fontId="23" fillId="11" borderId="1" xfId="0" applyFont="1" applyFill="1" applyBorder="1" applyAlignment="1" applyProtection="1">
      <alignment horizontal="center" vertical="top" wrapText="1" readingOrder="1"/>
      <protection locked="0"/>
    </xf>
    <xf numFmtId="0" fontId="24" fillId="11" borderId="1" xfId="0" applyFont="1" applyFill="1" applyBorder="1" applyAlignment="1" applyProtection="1">
      <alignment vertical="center" wrapText="1" readingOrder="1"/>
      <protection locked="0"/>
    </xf>
    <xf numFmtId="10" fontId="24" fillId="11" borderId="1" xfId="0" applyNumberFormat="1" applyFont="1" applyFill="1" applyBorder="1" applyAlignment="1" applyProtection="1">
      <alignment horizontal="right" vertical="center" wrapText="1" readingOrder="1"/>
      <protection locked="0"/>
    </xf>
    <xf numFmtId="0" fontId="25" fillId="11" borderId="1" xfId="0" applyFont="1" applyFill="1" applyBorder="1" applyAlignment="1" applyProtection="1">
      <alignment vertical="center" wrapText="1" readingOrder="1"/>
      <protection locked="0"/>
    </xf>
    <xf numFmtId="10" fontId="25" fillId="11" borderId="1" xfId="0" applyNumberFormat="1" applyFont="1" applyFill="1" applyBorder="1" applyAlignment="1" applyProtection="1">
      <alignment horizontal="right" vertical="center" wrapText="1" readingOrder="1"/>
      <protection locked="0"/>
    </xf>
    <xf numFmtId="10" fontId="2" fillId="0" borderId="0" xfId="1" applyNumberFormat="1" applyFont="1" applyFill="1"/>
    <xf numFmtId="0" fontId="16" fillId="0" borderId="42" xfId="0" applyFont="1" applyBorder="1" applyAlignment="1">
      <alignment horizontal="center" vertical="center"/>
    </xf>
    <xf numFmtId="0" fontId="16" fillId="9" borderId="42" xfId="0" applyFont="1" applyFill="1" applyBorder="1" applyAlignment="1">
      <alignment horizontal="right" vertical="center" wrapText="1"/>
    </xf>
    <xf numFmtId="10" fontId="0" fillId="0" borderId="0" xfId="0" applyNumberFormat="1"/>
    <xf numFmtId="4" fontId="15" fillId="0" borderId="0" xfId="0" applyNumberFormat="1" applyFont="1"/>
    <xf numFmtId="9" fontId="0" fillId="0" borderId="0" xfId="1" applyFont="1"/>
    <xf numFmtId="10" fontId="0" fillId="0" borderId="0" xfId="1" applyNumberFormat="1" applyFont="1"/>
    <xf numFmtId="0" fontId="26" fillId="3" borderId="0" xfId="0" applyFont="1" applyFill="1"/>
    <xf numFmtId="0" fontId="0" fillId="3" borderId="0" xfId="0" applyFont="1" applyFill="1"/>
    <xf numFmtId="0" fontId="27" fillId="11" borderId="43" xfId="0" applyFont="1" applyFill="1" applyBorder="1" applyAlignment="1" applyProtection="1">
      <alignment horizontal="center" vertical="top" wrapText="1" readingOrder="1"/>
      <protection locked="0"/>
    </xf>
    <xf numFmtId="0" fontId="28" fillId="11" borderId="43" xfId="0" applyFont="1" applyFill="1" applyBorder="1" applyAlignment="1" applyProtection="1">
      <alignment vertical="center" wrapText="1" readingOrder="1"/>
      <protection locked="0"/>
    </xf>
    <xf numFmtId="0" fontId="28" fillId="11" borderId="43" xfId="0" applyFont="1" applyFill="1" applyBorder="1" applyAlignment="1" applyProtection="1">
      <alignment horizontal="right" vertical="center" wrapText="1" readingOrder="1"/>
      <protection locked="0"/>
    </xf>
    <xf numFmtId="166" fontId="28" fillId="11" borderId="43" xfId="0" applyNumberFormat="1" applyFont="1" applyFill="1" applyBorder="1" applyAlignment="1" applyProtection="1">
      <alignment horizontal="right" vertical="center" wrapText="1" readingOrder="1"/>
      <protection locked="0"/>
    </xf>
    <xf numFmtId="10" fontId="28" fillId="11" borderId="43" xfId="0" applyNumberFormat="1" applyFont="1" applyFill="1" applyBorder="1" applyAlignment="1" applyProtection="1">
      <alignment horizontal="right" vertical="center" wrapText="1" readingOrder="1"/>
      <protection locked="0"/>
    </xf>
    <xf numFmtId="10" fontId="29" fillId="11" borderId="43" xfId="0" applyNumberFormat="1" applyFont="1" applyFill="1" applyBorder="1" applyAlignment="1" applyProtection="1">
      <alignment horizontal="right" vertical="center" wrapText="1" readingOrder="1"/>
      <protection locked="0"/>
    </xf>
    <xf numFmtId="0" fontId="28" fillId="11" borderId="44" xfId="0" applyFont="1" applyFill="1" applyBorder="1" applyAlignment="1" applyProtection="1">
      <alignment horizontal="right" vertical="center" wrapText="1" readingOrder="1"/>
      <protection locked="0"/>
    </xf>
    <xf numFmtId="10" fontId="29" fillId="11" borderId="45" xfId="0" applyNumberFormat="1" applyFont="1" applyFill="1" applyBorder="1" applyAlignment="1" applyProtection="1">
      <alignment horizontal="right" vertical="center" wrapText="1" readingOrder="1"/>
      <protection locked="0"/>
    </xf>
    <xf numFmtId="0" fontId="0" fillId="3" borderId="1" xfId="0" applyFont="1" applyFill="1" applyBorder="1"/>
    <xf numFmtId="9" fontId="2" fillId="3" borderId="1" xfId="0" applyNumberFormat="1" applyFont="1" applyFill="1" applyBorder="1" applyAlignment="1">
      <alignment horizontal="right" vertical="center" wrapText="1"/>
    </xf>
    <xf numFmtId="9" fontId="2" fillId="0" borderId="1" xfId="1" applyFont="1" applyFill="1" applyBorder="1" applyAlignment="1">
      <alignment vertical="center" wrapText="1"/>
    </xf>
    <xf numFmtId="0" fontId="7" fillId="3" borderId="11" xfId="0" applyFont="1" applyFill="1" applyBorder="1" applyAlignment="1">
      <alignment horizontal="left" vertical="center" wrapText="1"/>
    </xf>
    <xf numFmtId="0" fontId="2" fillId="0" borderId="1" xfId="0" applyFont="1" applyFill="1" applyBorder="1" applyAlignment="1">
      <alignment horizontal="justify" vertical="top" wrapText="1"/>
    </xf>
    <xf numFmtId="0" fontId="2" fillId="0" borderId="0" xfId="0" applyFont="1" applyFill="1" applyAlignment="1">
      <alignment horizontal="center"/>
    </xf>
    <xf numFmtId="43" fontId="7" fillId="0" borderId="3" xfId="3" applyFont="1" applyFill="1" applyBorder="1" applyAlignment="1">
      <alignment horizontal="right" vertical="center"/>
    </xf>
    <xf numFmtId="43" fontId="7" fillId="0" borderId="2" xfId="3" applyFont="1" applyFill="1" applyBorder="1" applyAlignment="1">
      <alignment horizontal="right" vertical="center"/>
    </xf>
    <xf numFmtId="165" fontId="7" fillId="0" borderId="1" xfId="3" applyNumberFormat="1" applyFont="1" applyFill="1" applyBorder="1" applyAlignment="1">
      <alignment horizontal="right" vertical="center"/>
    </xf>
    <xf numFmtId="165" fontId="7" fillId="0" borderId="2" xfId="3" applyNumberFormat="1" applyFont="1" applyFill="1" applyBorder="1" applyAlignment="1">
      <alignment horizontal="right" vertical="center"/>
    </xf>
    <xf numFmtId="9" fontId="7" fillId="0" borderId="1" xfId="1" applyNumberFormat="1" applyFont="1" applyFill="1" applyBorder="1" applyAlignment="1">
      <alignment horizontal="right" vertical="center"/>
    </xf>
    <xf numFmtId="0" fontId="7" fillId="0" borderId="1" xfId="0" applyFont="1" applyFill="1" applyBorder="1" applyAlignment="1">
      <alignment horizontal="right" vertical="center"/>
    </xf>
    <xf numFmtId="9" fontId="7" fillId="0" borderId="1" xfId="0" applyNumberFormat="1" applyFont="1" applyFill="1" applyBorder="1" applyAlignment="1">
      <alignment horizontal="right" vertical="center"/>
    </xf>
    <xf numFmtId="164" fontId="7" fillId="0" borderId="9" xfId="1" applyNumberFormat="1" applyFont="1" applyFill="1" applyBorder="1" applyAlignment="1">
      <alignment horizontal="right" vertical="center"/>
    </xf>
    <xf numFmtId="164" fontId="7" fillId="0" borderId="1" xfId="1" applyNumberFormat="1" applyFont="1" applyFill="1" applyBorder="1" applyAlignment="1">
      <alignment horizontal="right" vertical="center"/>
    </xf>
    <xf numFmtId="43" fontId="7" fillId="0" borderId="1" xfId="3" applyFont="1" applyFill="1" applyBorder="1" applyAlignment="1">
      <alignment horizontal="right" vertical="center"/>
    </xf>
    <xf numFmtId="1" fontId="7" fillId="0" borderId="1" xfId="0" applyNumberFormat="1" applyFont="1" applyFill="1" applyBorder="1" applyAlignment="1">
      <alignment horizontal="right" vertical="center"/>
    </xf>
    <xf numFmtId="1" fontId="7" fillId="0" borderId="2" xfId="0" applyNumberFormat="1" applyFont="1" applyFill="1" applyBorder="1" applyAlignment="1">
      <alignment horizontal="right" vertical="center"/>
    </xf>
    <xf numFmtId="0" fontId="7" fillId="0" borderId="2" xfId="0" applyFont="1" applyFill="1" applyBorder="1" applyAlignment="1">
      <alignment horizontal="right" vertical="center"/>
    </xf>
    <xf numFmtId="165" fontId="7" fillId="0" borderId="9" xfId="3" applyNumberFormat="1" applyFont="1" applyFill="1" applyBorder="1" applyAlignment="1">
      <alignment horizontal="right" vertical="center"/>
    </xf>
    <xf numFmtId="0" fontId="2" fillId="3" borderId="1" xfId="0" applyFont="1" applyFill="1" applyBorder="1" applyAlignment="1">
      <alignment horizontal="right" vertical="center" wrapText="1"/>
    </xf>
    <xf numFmtId="9" fontId="10" fillId="0" borderId="1" xfId="0" applyNumberFormat="1" applyFont="1" applyBorder="1" applyAlignment="1">
      <alignment horizontal="right" vertical="center" wrapText="1"/>
    </xf>
    <xf numFmtId="0" fontId="2" fillId="3" borderId="9" xfId="0" applyFont="1" applyFill="1" applyBorder="1" applyAlignment="1">
      <alignment horizontal="justify" vertical="top" wrapText="1"/>
    </xf>
    <xf numFmtId="0" fontId="2" fillId="3" borderId="1" xfId="0" applyFont="1" applyFill="1" applyBorder="1" applyAlignment="1">
      <alignment horizontal="justify" vertical="top" wrapText="1"/>
    </xf>
    <xf numFmtId="9" fontId="7" fillId="3" borderId="9" xfId="0" applyNumberFormat="1" applyFont="1" applyFill="1" applyBorder="1" applyAlignment="1">
      <alignment horizontal="center" vertical="center"/>
    </xf>
    <xf numFmtId="9" fontId="7" fillId="3" borderId="1" xfId="1" applyFont="1" applyFill="1" applyBorder="1" applyAlignment="1">
      <alignment horizontal="center" vertical="center"/>
    </xf>
    <xf numFmtId="9" fontId="7" fillId="3" borderId="1" xfId="0" applyNumberFormat="1" applyFont="1" applyFill="1" applyBorder="1" applyAlignment="1">
      <alignment horizontal="center" vertical="center"/>
    </xf>
    <xf numFmtId="9" fontId="7" fillId="3" borderId="2" xfId="0" applyNumberFormat="1" applyFont="1" applyFill="1" applyBorder="1" applyAlignment="1">
      <alignment horizontal="center" vertical="center"/>
    </xf>
    <xf numFmtId="10" fontId="7" fillId="3" borderId="1" xfId="0" applyNumberFormat="1" applyFont="1" applyFill="1" applyBorder="1" applyAlignment="1">
      <alignment horizontal="center" vertical="center"/>
    </xf>
    <xf numFmtId="10" fontId="7" fillId="3" borderId="9" xfId="0" applyNumberFormat="1" applyFont="1" applyFill="1" applyBorder="1" applyAlignment="1">
      <alignment horizontal="center" vertical="center"/>
    </xf>
    <xf numFmtId="164" fontId="7" fillId="3" borderId="14" xfId="0" applyNumberFormat="1" applyFont="1" applyFill="1" applyBorder="1" applyAlignment="1">
      <alignment horizontal="center" vertical="center"/>
    </xf>
    <xf numFmtId="9" fontId="7" fillId="3" borderId="11" xfId="0" applyNumberFormat="1" applyFont="1" applyFill="1" applyBorder="1" applyAlignment="1">
      <alignment horizontal="center" vertical="center"/>
    </xf>
    <xf numFmtId="10" fontId="7" fillId="3" borderId="11" xfId="0" applyNumberFormat="1" applyFont="1" applyFill="1" applyBorder="1" applyAlignment="1">
      <alignment horizontal="center" vertical="center"/>
    </xf>
    <xf numFmtId="9" fontId="7" fillId="3" borderId="17" xfId="0" applyNumberFormat="1" applyFont="1" applyFill="1" applyBorder="1" applyAlignment="1">
      <alignment horizontal="center" vertical="center"/>
    </xf>
    <xf numFmtId="164" fontId="7" fillId="3" borderId="11" xfId="0" applyNumberFormat="1" applyFont="1" applyFill="1" applyBorder="1" applyAlignment="1">
      <alignment horizontal="center" vertical="center"/>
    </xf>
    <xf numFmtId="0" fontId="7" fillId="3" borderId="17" xfId="0" applyFont="1" applyFill="1" applyBorder="1" applyAlignment="1">
      <alignment horizontal="right" vertical="center" wrapText="1"/>
    </xf>
    <xf numFmtId="9" fontId="7" fillId="3" borderId="11" xfId="0" applyNumberFormat="1" applyFont="1" applyFill="1" applyBorder="1" applyAlignment="1">
      <alignment horizontal="right" vertical="center" wrapText="1"/>
    </xf>
    <xf numFmtId="0" fontId="7" fillId="0" borderId="1" xfId="0" applyFont="1" applyFill="1" applyBorder="1" applyAlignment="1">
      <alignment horizontal="right" vertical="center" wrapText="1"/>
    </xf>
    <xf numFmtId="9" fontId="7" fillId="3" borderId="1" xfId="0" applyNumberFormat="1" applyFont="1" applyFill="1" applyBorder="1" applyAlignment="1">
      <alignment horizontal="right" vertical="center" wrapText="1"/>
    </xf>
    <xf numFmtId="0" fontId="7" fillId="3" borderId="1" xfId="0" applyFont="1" applyFill="1" applyBorder="1" applyAlignment="1">
      <alignment horizontal="right" vertical="center" wrapText="1"/>
    </xf>
    <xf numFmtId="9" fontId="30" fillId="0" borderId="1" xfId="0" applyNumberFormat="1" applyFont="1" applyBorder="1" applyAlignment="1">
      <alignment horizontal="right" vertical="center" wrapText="1"/>
    </xf>
    <xf numFmtId="10" fontId="7" fillId="3" borderId="1" xfId="0" applyNumberFormat="1" applyFont="1" applyFill="1" applyBorder="1" applyAlignment="1">
      <alignment horizontal="right" vertical="center" wrapText="1"/>
    </xf>
    <xf numFmtId="4" fontId="31" fillId="0" borderId="33" xfId="0" applyNumberFormat="1" applyFont="1" applyBorder="1" applyAlignment="1">
      <alignment horizontal="right" vertical="center"/>
    </xf>
    <xf numFmtId="4" fontId="13" fillId="0" borderId="33" xfId="0" applyNumberFormat="1" applyFont="1" applyBorder="1" applyAlignment="1">
      <alignment horizontal="right" vertical="center"/>
    </xf>
    <xf numFmtId="10" fontId="7" fillId="3" borderId="14" xfId="0" applyNumberFormat="1" applyFont="1" applyFill="1" applyBorder="1" applyAlignment="1">
      <alignment horizontal="center" vertical="center"/>
    </xf>
    <xf numFmtId="164" fontId="7" fillId="3" borderId="1" xfId="0" applyNumberFormat="1" applyFont="1" applyFill="1" applyBorder="1" applyAlignment="1">
      <alignment horizontal="center" vertical="center"/>
    </xf>
    <xf numFmtId="3" fontId="31" fillId="0" borderId="1" xfId="0" applyNumberFormat="1" applyFont="1" applyBorder="1" applyAlignment="1">
      <alignment horizontal="center" vertical="center" wrapText="1"/>
    </xf>
    <xf numFmtId="9" fontId="31" fillId="0" borderId="1" xfId="0" applyNumberFormat="1" applyFont="1" applyBorder="1" applyAlignment="1">
      <alignment horizontal="center" vertical="center" wrapText="1"/>
    </xf>
    <xf numFmtId="0" fontId="31" fillId="0" borderId="1" xfId="0" applyFont="1" applyBorder="1" applyAlignment="1">
      <alignment horizontal="center" vertical="center" wrapText="1"/>
    </xf>
    <xf numFmtId="9" fontId="32" fillId="0" borderId="1" xfId="0" applyNumberFormat="1" applyFont="1" applyBorder="1" applyAlignment="1">
      <alignment horizontal="center" vertical="center" wrapText="1"/>
    </xf>
    <xf numFmtId="9" fontId="32" fillId="3" borderId="11" xfId="0" applyNumberFormat="1" applyFont="1" applyFill="1" applyBorder="1" applyAlignment="1">
      <alignment horizontal="center" vertical="center"/>
    </xf>
    <xf numFmtId="0" fontId="2" fillId="0" borderId="1" xfId="0" applyFont="1" applyFill="1" applyBorder="1" applyAlignment="1">
      <alignment vertical="center"/>
    </xf>
    <xf numFmtId="0" fontId="34" fillId="2" borderId="12" xfId="0" applyFont="1" applyFill="1" applyBorder="1" applyAlignment="1">
      <alignment horizontal="center" vertical="center" wrapText="1"/>
    </xf>
    <xf numFmtId="0" fontId="5" fillId="4" borderId="30" xfId="0" applyFont="1" applyFill="1" applyBorder="1" applyAlignment="1">
      <alignment horizontal="center" vertical="center"/>
    </xf>
    <xf numFmtId="0" fontId="5" fillId="4" borderId="20" xfId="0" applyFont="1" applyFill="1" applyBorder="1" applyAlignment="1">
      <alignment horizontal="center" vertical="center" wrapText="1"/>
    </xf>
    <xf numFmtId="0" fontId="5" fillId="7" borderId="20" xfId="0" applyFont="1" applyFill="1" applyBorder="1" applyAlignment="1">
      <alignment horizontal="center" vertical="center"/>
    </xf>
    <xf numFmtId="0" fontId="5" fillId="7" borderId="20"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31" xfId="0" applyFont="1" applyFill="1" applyBorder="1" applyAlignment="1">
      <alignment horizontal="center" vertical="center" wrapText="1"/>
    </xf>
    <xf numFmtId="0" fontId="5" fillId="7" borderId="19"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3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0" xfId="0" applyFont="1" applyBorder="1" applyAlignment="1"/>
    <xf numFmtId="0" fontId="33" fillId="3" borderId="0" xfId="0" applyFont="1" applyFill="1" applyBorder="1" applyAlignment="1">
      <alignment horizontal="center" vertical="center" wrapText="1"/>
    </xf>
    <xf numFmtId="0" fontId="35" fillId="6" borderId="5" xfId="0" applyFont="1" applyFill="1" applyBorder="1" applyAlignment="1">
      <alignment vertical="center"/>
    </xf>
    <xf numFmtId="0" fontId="35" fillId="6" borderId="6" xfId="0" applyFont="1" applyFill="1" applyBorder="1" applyAlignment="1">
      <alignment vertical="center"/>
    </xf>
    <xf numFmtId="0" fontId="5" fillId="3" borderId="32"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4" fontId="31" fillId="0" borderId="46" xfId="0" applyNumberFormat="1" applyFont="1" applyBorder="1" applyAlignment="1">
      <alignment horizontal="right" vertical="center"/>
    </xf>
    <xf numFmtId="0" fontId="2" fillId="0" borderId="47" xfId="0" applyFont="1" applyFill="1" applyBorder="1" applyAlignment="1">
      <alignment horizontal="right" vertical="center" wrapText="1"/>
    </xf>
    <xf numFmtId="4" fontId="31" fillId="0" borderId="47" xfId="0" applyNumberFormat="1" applyFont="1" applyBorder="1" applyAlignment="1">
      <alignment horizontal="right" vertical="center"/>
    </xf>
    <xf numFmtId="0" fontId="7" fillId="0" borderId="47" xfId="0" applyFont="1" applyFill="1" applyBorder="1" applyAlignment="1">
      <alignment horizontal="right" vertical="center" wrapText="1"/>
    </xf>
    <xf numFmtId="9" fontId="7" fillId="0" borderId="47" xfId="0" applyNumberFormat="1" applyFont="1" applyBorder="1" applyAlignment="1">
      <alignment horizontal="right" vertical="center" wrapText="1"/>
    </xf>
    <xf numFmtId="0" fontId="31" fillId="0" borderId="47" xfId="0" applyFont="1" applyBorder="1" applyAlignment="1">
      <alignment horizontal="right" vertical="center" wrapText="1"/>
    </xf>
    <xf numFmtId="0" fontId="7" fillId="3" borderId="47" xfId="0" applyFont="1" applyFill="1" applyBorder="1" applyAlignment="1">
      <alignment horizontal="right" vertical="center" wrapText="1"/>
    </xf>
    <xf numFmtId="9" fontId="7" fillId="3" borderId="47" xfId="0" applyNumberFormat="1" applyFont="1" applyFill="1" applyBorder="1" applyAlignment="1">
      <alignment horizontal="right" vertical="center" wrapText="1"/>
    </xf>
    <xf numFmtId="0" fontId="14"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 fillId="12" borderId="1" xfId="0" applyFont="1" applyFill="1" applyBorder="1" applyAlignment="1">
      <alignment horizontal="justify" vertical="center" wrapText="1"/>
    </xf>
    <xf numFmtId="0" fontId="2" fillId="12" borderId="1" xfId="0" applyFont="1" applyFill="1" applyBorder="1" applyAlignment="1">
      <alignment horizontal="center" vertical="center" wrapText="1"/>
    </xf>
    <xf numFmtId="0" fontId="7" fillId="3" borderId="9" xfId="0" applyFont="1" applyFill="1" applyBorder="1" applyAlignment="1">
      <alignment horizontal="left" vertical="center" wrapText="1" readingOrder="1"/>
    </xf>
    <xf numFmtId="0" fontId="34" fillId="2" borderId="30" xfId="0" applyFont="1" applyFill="1" applyBorder="1" applyAlignment="1">
      <alignment horizontal="center" vertical="center" wrapText="1"/>
    </xf>
    <xf numFmtId="0" fontId="34" fillId="2" borderId="20" xfId="0" applyFont="1" applyFill="1" applyBorder="1" applyAlignment="1">
      <alignment horizontal="center" vertical="center" wrapText="1"/>
    </xf>
    <xf numFmtId="0" fontId="34" fillId="2" borderId="31" xfId="0" applyFont="1" applyFill="1" applyBorder="1" applyAlignment="1">
      <alignment horizontal="center" vertical="center" wrapText="1"/>
    </xf>
    <xf numFmtId="9" fontId="2" fillId="3" borderId="1" xfId="0" applyNumberFormat="1" applyFont="1" applyFill="1" applyBorder="1" applyAlignment="1">
      <alignment horizontal="center" vertical="center" wrapText="1"/>
    </xf>
    <xf numFmtId="9" fontId="14" fillId="0" borderId="1" xfId="0" applyNumberFormat="1" applyFont="1" applyBorder="1" applyAlignment="1">
      <alignment horizontal="center" vertical="center" wrapText="1"/>
    </xf>
    <xf numFmtId="10"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10" fontId="2" fillId="0" borderId="1" xfId="0" applyNumberFormat="1" applyFont="1" applyBorder="1" applyAlignment="1">
      <alignment horizontal="center" vertical="center" wrapText="1"/>
    </xf>
    <xf numFmtId="0" fontId="5" fillId="3" borderId="5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30" xfId="0" applyFont="1" applyFill="1" applyBorder="1" applyAlignment="1">
      <alignment horizontal="center" vertical="center"/>
    </xf>
    <xf numFmtId="0" fontId="5" fillId="3" borderId="20" xfId="0" applyFont="1" applyFill="1" applyBorder="1" applyAlignment="1">
      <alignment horizontal="center" vertical="center" wrapText="1"/>
    </xf>
    <xf numFmtId="9" fontId="2" fillId="0" borderId="0" xfId="0" applyNumberFormat="1" applyFont="1" applyBorder="1"/>
    <xf numFmtId="9" fontId="7" fillId="14" borderId="1" xfId="0" applyNumberFormat="1" applyFont="1" applyFill="1" applyBorder="1" applyAlignment="1">
      <alignment horizontal="center" vertical="center"/>
    </xf>
    <xf numFmtId="10" fontId="7" fillId="0" borderId="1" xfId="1" applyNumberFormat="1" applyFont="1" applyFill="1" applyBorder="1" applyAlignment="1">
      <alignment horizontal="center" vertical="center"/>
    </xf>
    <xf numFmtId="43" fontId="7" fillId="15" borderId="2" xfId="3" applyFont="1" applyFill="1" applyBorder="1" applyAlignment="1">
      <alignment horizontal="right" vertical="center"/>
    </xf>
    <xf numFmtId="164" fontId="7" fillId="0" borderId="3" xfId="1" applyNumberFormat="1" applyFont="1" applyFill="1" applyBorder="1" applyAlignment="1">
      <alignment horizontal="right" vertical="center"/>
    </xf>
    <xf numFmtId="164" fontId="7" fillId="0" borderId="2" xfId="1" applyNumberFormat="1" applyFont="1" applyFill="1" applyBorder="1" applyAlignment="1">
      <alignment horizontal="right" vertical="center"/>
    </xf>
    <xf numFmtId="43" fontId="7" fillId="0" borderId="1" xfId="3" applyFont="1" applyFill="1" applyBorder="1" applyAlignment="1">
      <alignment horizontal="center" vertical="center"/>
    </xf>
    <xf numFmtId="165" fontId="7" fillId="0" borderId="1" xfId="3" applyNumberFormat="1" applyFont="1" applyFill="1" applyBorder="1" applyAlignment="1">
      <alignment horizontal="center" vertical="center"/>
    </xf>
    <xf numFmtId="43" fontId="2" fillId="0" borderId="0" xfId="0" applyNumberFormat="1" applyFont="1" applyFill="1"/>
    <xf numFmtId="0" fontId="2" fillId="0" borderId="0" xfId="0" applyFont="1" applyFill="1" applyBorder="1" applyAlignment="1">
      <alignment horizontal="justify" vertical="top" wrapText="1"/>
    </xf>
    <xf numFmtId="164" fontId="7" fillId="0" borderId="2" xfId="1" applyNumberFormat="1" applyFont="1" applyFill="1" applyBorder="1" applyAlignment="1">
      <alignment horizontal="center" vertical="center"/>
    </xf>
    <xf numFmtId="164" fontId="39" fillId="3" borderId="1" xfId="0" applyNumberFormat="1" applyFont="1" applyFill="1" applyBorder="1" applyAlignment="1">
      <alignment horizontal="center" vertical="center" wrapText="1"/>
    </xf>
    <xf numFmtId="0" fontId="7" fillId="3" borderId="11" xfId="0" applyFont="1" applyFill="1" applyBorder="1" applyAlignment="1">
      <alignment horizontal="right" vertical="center" wrapText="1"/>
    </xf>
    <xf numFmtId="165" fontId="7" fillId="3" borderId="2" xfId="3" applyNumberFormat="1" applyFont="1" applyFill="1" applyBorder="1" applyAlignment="1">
      <alignment horizontal="center" vertical="center" wrapText="1"/>
    </xf>
    <xf numFmtId="164" fontId="39" fillId="0" borderId="1" xfId="0" applyNumberFormat="1" applyFont="1" applyBorder="1" applyAlignment="1">
      <alignment horizontal="center" vertical="center" wrapText="1"/>
    </xf>
    <xf numFmtId="165" fontId="7" fillId="0" borderId="1" xfId="3" applyNumberFormat="1" applyFont="1" applyFill="1" applyBorder="1" applyAlignment="1">
      <alignment horizontal="right" vertical="center" wrapText="1"/>
    </xf>
    <xf numFmtId="0" fontId="2" fillId="3" borderId="0" xfId="0" applyFont="1" applyFill="1"/>
    <xf numFmtId="9" fontId="39" fillId="3" borderId="1" xfId="1" applyFont="1" applyFill="1" applyBorder="1" applyAlignment="1">
      <alignment horizontal="center" vertical="center" wrapText="1"/>
    </xf>
    <xf numFmtId="10" fontId="7" fillId="0" borderId="1" xfId="1" applyNumberFormat="1" applyFont="1" applyFill="1" applyBorder="1" applyAlignment="1">
      <alignment horizontal="right" vertical="center"/>
    </xf>
    <xf numFmtId="10" fontId="39" fillId="3" borderId="1" xfId="0" applyNumberFormat="1" applyFont="1" applyFill="1" applyBorder="1" applyAlignment="1">
      <alignment horizontal="center" vertical="center" wrapText="1"/>
    </xf>
    <xf numFmtId="43" fontId="7" fillId="3" borderId="14" xfId="3" applyFont="1" applyFill="1" applyBorder="1" applyAlignment="1">
      <alignment horizontal="center" vertical="center" wrapText="1"/>
    </xf>
    <xf numFmtId="9" fontId="39" fillId="3" borderId="9" xfId="0" applyNumberFormat="1" applyFont="1" applyFill="1" applyBorder="1" applyAlignment="1">
      <alignment horizontal="center" vertical="center" wrapText="1"/>
    </xf>
    <xf numFmtId="9" fontId="2" fillId="0" borderId="0" xfId="1" applyFont="1" applyFill="1" applyBorder="1" applyAlignment="1">
      <alignment horizontal="justify" vertical="top" wrapText="1"/>
    </xf>
    <xf numFmtId="10" fontId="24" fillId="16" borderId="1" xfId="0" applyNumberFormat="1" applyFont="1" applyFill="1" applyBorder="1" applyAlignment="1" applyProtection="1">
      <alignment horizontal="right" vertical="center" wrapText="1" readingOrder="1"/>
      <protection locked="0"/>
    </xf>
    <xf numFmtId="1" fontId="0" fillId="0" borderId="0" xfId="0" applyNumberFormat="1"/>
    <xf numFmtId="0" fontId="2" fillId="3" borderId="2" xfId="0" applyFont="1" applyFill="1" applyBorder="1" applyAlignment="1">
      <alignment horizontal="justify" vertical="top" wrapText="1"/>
    </xf>
    <xf numFmtId="164" fontId="39" fillId="3" borderId="2" xfId="0" applyNumberFormat="1" applyFont="1" applyFill="1" applyBorder="1" applyAlignment="1">
      <alignment horizontal="center" vertical="center" wrapText="1"/>
    </xf>
    <xf numFmtId="43" fontId="7" fillId="3" borderId="1" xfId="3" applyFont="1" applyFill="1" applyBorder="1" applyAlignment="1">
      <alignment horizontal="center" vertical="center" wrapText="1"/>
    </xf>
    <xf numFmtId="9" fontId="40" fillId="3" borderId="2" xfId="1" applyFont="1" applyFill="1" applyBorder="1" applyAlignment="1">
      <alignment horizontal="center" vertical="center" wrapText="1"/>
    </xf>
    <xf numFmtId="0" fontId="7" fillId="3" borderId="11" xfId="0" applyFont="1" applyFill="1" applyBorder="1" applyAlignment="1">
      <alignment horizontal="center" vertical="center" wrapText="1"/>
    </xf>
    <xf numFmtId="9" fontId="39" fillId="3" borderId="1" xfId="0" applyNumberFormat="1" applyFont="1" applyFill="1" applyBorder="1" applyAlignment="1">
      <alignment horizontal="center" vertical="center" wrapText="1"/>
    </xf>
    <xf numFmtId="9" fontId="7" fillId="3" borderId="11" xfId="0" applyNumberFormat="1" applyFont="1" applyFill="1" applyBorder="1" applyAlignment="1">
      <alignment horizontal="center" vertical="center" wrapText="1"/>
    </xf>
    <xf numFmtId="0" fontId="2" fillId="0" borderId="0" xfId="0" applyFont="1" applyFill="1" applyBorder="1" applyAlignment="1">
      <alignment horizontal="justify" vertical="center" wrapText="1"/>
    </xf>
    <xf numFmtId="9" fontId="39" fillId="0" borderId="1" xfId="0" applyNumberFormat="1" applyFont="1" applyBorder="1" applyAlignment="1">
      <alignment horizontal="center" vertical="center" wrapText="1"/>
    </xf>
    <xf numFmtId="164" fontId="7" fillId="0" borderId="11" xfId="1" applyNumberFormat="1" applyFont="1" applyFill="1" applyBorder="1" applyAlignment="1">
      <alignment horizontal="right" vertical="center"/>
    </xf>
    <xf numFmtId="0" fontId="2" fillId="0" borderId="1" xfId="0" applyFont="1" applyFill="1" applyBorder="1"/>
    <xf numFmtId="0" fontId="2" fillId="0" borderId="0" xfId="0" applyFont="1" applyBorder="1" applyAlignment="1"/>
    <xf numFmtId="164" fontId="39" fillId="0" borderId="1" xfId="0" applyNumberFormat="1" applyFont="1" applyFill="1" applyBorder="1" applyAlignment="1">
      <alignment horizontal="center" vertical="center" wrapText="1"/>
    </xf>
    <xf numFmtId="9" fontId="6" fillId="3" borderId="2" xfId="1" applyFont="1" applyFill="1" applyBorder="1" applyAlignment="1">
      <alignment horizontal="center" vertical="center"/>
    </xf>
    <xf numFmtId="164" fontId="6" fillId="3" borderId="1" xfId="1" applyNumberFormat="1" applyFont="1" applyFill="1" applyBorder="1" applyAlignment="1">
      <alignment horizontal="center" vertical="center"/>
    </xf>
    <xf numFmtId="9" fontId="6" fillId="3" borderId="1" xfId="0" applyNumberFormat="1" applyFont="1" applyFill="1" applyBorder="1" applyAlignment="1">
      <alignment horizontal="center" vertical="center"/>
    </xf>
    <xf numFmtId="10" fontId="39" fillId="0" borderId="1" xfId="0" applyNumberFormat="1" applyFont="1" applyFill="1" applyBorder="1" applyAlignment="1">
      <alignment horizontal="center" vertical="center" wrapText="1"/>
    </xf>
    <xf numFmtId="9" fontId="7" fillId="0" borderId="1" xfId="0" applyNumberFormat="1" applyFont="1" applyBorder="1" applyAlignment="1">
      <alignment horizontal="right" vertical="center" wrapText="1"/>
    </xf>
    <xf numFmtId="164" fontId="39" fillId="0" borderId="1" xfId="1" applyNumberFormat="1" applyFont="1" applyBorder="1" applyAlignment="1">
      <alignment horizontal="center" vertical="center" wrapText="1"/>
    </xf>
    <xf numFmtId="0" fontId="7" fillId="0" borderId="1" xfId="0" applyFont="1" applyBorder="1" applyAlignment="1">
      <alignment horizontal="left" vertical="center"/>
    </xf>
    <xf numFmtId="9" fontId="6" fillId="3" borderId="2" xfId="0" applyNumberFormat="1" applyFont="1" applyFill="1" applyBorder="1" applyAlignment="1">
      <alignment horizontal="center" vertical="center"/>
    </xf>
    <xf numFmtId="9" fontId="2" fillId="0" borderId="1" xfId="0" applyNumberFormat="1" applyFont="1" applyBorder="1" applyAlignment="1">
      <alignment horizontal="justify" vertical="center" wrapText="1"/>
    </xf>
    <xf numFmtId="0" fontId="7" fillId="3" borderId="1" xfId="0" applyFont="1" applyFill="1" applyBorder="1" applyAlignment="1">
      <alignment horizontal="justify" vertical="center" wrapText="1" readingOrder="1"/>
    </xf>
    <xf numFmtId="165" fontId="7" fillId="3" borderId="14" xfId="3" applyNumberFormat="1" applyFont="1" applyFill="1" applyBorder="1" applyAlignment="1">
      <alignment horizontal="center" vertical="center" wrapText="1"/>
    </xf>
    <xf numFmtId="43" fontId="7" fillId="0" borderId="9" xfId="3" applyFont="1" applyBorder="1" applyAlignment="1">
      <alignment vertical="center"/>
    </xf>
    <xf numFmtId="9" fontId="39" fillId="0" borderId="1" xfId="1" applyNumberFormat="1" applyFont="1" applyBorder="1" applyAlignment="1">
      <alignment horizontal="center" vertical="center" wrapText="1"/>
    </xf>
    <xf numFmtId="164" fontId="7" fillId="3" borderId="1" xfId="0" applyNumberFormat="1" applyFont="1" applyFill="1" applyBorder="1" applyAlignment="1">
      <alignment horizontal="center" vertical="center" wrapText="1"/>
    </xf>
    <xf numFmtId="9" fontId="7" fillId="0" borderId="1" xfId="0" applyNumberFormat="1" applyFont="1" applyBorder="1" applyAlignment="1">
      <alignment horizontal="center" vertical="center" wrapText="1"/>
    </xf>
    <xf numFmtId="164" fontId="7" fillId="0" borderId="1" xfId="1" applyNumberFormat="1" applyFont="1" applyBorder="1" applyAlignment="1">
      <alignment horizontal="center" vertical="center" wrapText="1"/>
    </xf>
    <xf numFmtId="9" fontId="39" fillId="0" borderId="1" xfId="0" applyNumberFormat="1" applyFont="1" applyFill="1" applyBorder="1" applyAlignment="1">
      <alignment horizontal="center" vertical="center" wrapText="1"/>
    </xf>
    <xf numFmtId="43" fontId="7" fillId="0" borderId="1" xfId="3" applyFont="1" applyFill="1" applyBorder="1" applyAlignment="1">
      <alignment horizontal="center" vertical="center" wrapText="1"/>
    </xf>
    <xf numFmtId="164" fontId="7" fillId="0" borderId="1" xfId="0" applyNumberFormat="1" applyFont="1" applyFill="1" applyBorder="1" applyAlignment="1">
      <alignment horizontal="right" vertical="center" wrapText="1" indent="2"/>
    </xf>
    <xf numFmtId="10" fontId="7" fillId="0" borderId="1" xfId="0" applyNumberFormat="1" applyFont="1" applyFill="1" applyBorder="1" applyAlignment="1">
      <alignment horizontal="right" vertical="center" wrapText="1"/>
    </xf>
    <xf numFmtId="164" fontId="7" fillId="0" borderId="1" xfId="0" applyNumberFormat="1" applyFont="1" applyBorder="1" applyAlignment="1">
      <alignment horizontal="right" vertical="center" wrapText="1"/>
    </xf>
    <xf numFmtId="10" fontId="42" fillId="3" borderId="1" xfId="0" applyNumberFormat="1" applyFont="1" applyFill="1" applyBorder="1" applyAlignment="1">
      <alignment horizontal="center" vertical="center"/>
    </xf>
    <xf numFmtId="164" fontId="42" fillId="3" borderId="14" xfId="0" applyNumberFormat="1" applyFont="1" applyFill="1" applyBorder="1" applyAlignment="1">
      <alignment horizontal="center" vertical="center"/>
    </xf>
    <xf numFmtId="0" fontId="2" fillId="0" borderId="1" xfId="0" applyFont="1" applyBorder="1" applyAlignment="1">
      <alignment horizontal="center" vertical="center"/>
    </xf>
    <xf numFmtId="0" fontId="45" fillId="0" borderId="1" xfId="0" applyFont="1" applyBorder="1" applyAlignment="1">
      <alignment horizontal="center" vertical="center"/>
    </xf>
    <xf numFmtId="0" fontId="45" fillId="0" borderId="1" xfId="0" applyFont="1" applyFill="1" applyBorder="1" applyAlignment="1">
      <alignment vertical="center" wrapText="1"/>
    </xf>
    <xf numFmtId="0" fontId="45" fillId="3" borderId="1" xfId="0" applyFont="1" applyFill="1" applyBorder="1" applyAlignment="1">
      <alignment horizontal="left" vertical="center" wrapText="1" readingOrder="1"/>
    </xf>
    <xf numFmtId="0" fontId="45" fillId="3" borderId="1" xfId="0" applyFont="1" applyFill="1" applyBorder="1" applyAlignment="1">
      <alignment horizontal="justify" vertical="center" wrapText="1" readingOrder="1"/>
    </xf>
    <xf numFmtId="0" fontId="45" fillId="0" borderId="1" xfId="0" applyFont="1" applyFill="1" applyBorder="1" applyAlignment="1">
      <alignment horizontal="justify" vertical="center" wrapText="1"/>
    </xf>
    <xf numFmtId="0" fontId="45" fillId="0" borderId="1" xfId="0" applyFont="1" applyBorder="1" applyAlignment="1">
      <alignment vertical="center" wrapText="1"/>
    </xf>
    <xf numFmtId="0" fontId="45" fillId="0" borderId="1" xfId="0" applyFont="1" applyBorder="1" applyAlignment="1">
      <alignment wrapText="1"/>
    </xf>
    <xf numFmtId="0" fontId="45" fillId="3" borderId="1" xfId="0" applyFont="1" applyFill="1" applyBorder="1" applyAlignment="1">
      <alignment horizontal="left" vertical="center" wrapText="1"/>
    </xf>
    <xf numFmtId="0" fontId="45" fillId="3" borderId="1" xfId="0" applyFont="1" applyFill="1" applyBorder="1" applyAlignment="1">
      <alignment vertical="center" wrapText="1"/>
    </xf>
    <xf numFmtId="0" fontId="2" fillId="0" borderId="1" xfId="0" applyFont="1" applyFill="1" applyBorder="1" applyAlignment="1">
      <alignment horizontal="center" vertical="center"/>
    </xf>
    <xf numFmtId="10" fontId="39" fillId="0" borderId="9" xfId="0" applyNumberFormat="1" applyFont="1" applyFill="1" applyBorder="1" applyAlignment="1">
      <alignment horizontal="center" vertical="center" wrapText="1"/>
    </xf>
    <xf numFmtId="43" fontId="7" fillId="0" borderId="9" xfId="0" applyNumberFormat="1" applyFont="1" applyFill="1" applyBorder="1" applyAlignment="1">
      <alignment horizontal="center" vertical="center" wrapText="1"/>
    </xf>
    <xf numFmtId="10" fontId="39" fillId="0" borderId="1" xfId="0" applyNumberFormat="1" applyFont="1" applyBorder="1" applyAlignment="1">
      <alignment horizontal="center" vertical="center" wrapText="1"/>
    </xf>
    <xf numFmtId="9" fontId="7" fillId="0" borderId="1" xfId="0" applyNumberFormat="1" applyFont="1" applyFill="1" applyBorder="1" applyAlignment="1">
      <alignment horizontal="right" vertical="center" wrapText="1" indent="2"/>
    </xf>
    <xf numFmtId="0" fontId="7" fillId="0" borderId="3" xfId="0" applyFont="1" applyFill="1" applyBorder="1" applyAlignment="1">
      <alignment horizontal="center" vertical="center" wrapText="1"/>
    </xf>
    <xf numFmtId="0" fontId="33" fillId="3" borderId="0" xfId="0" applyFont="1" applyFill="1" applyAlignment="1">
      <alignment horizontal="center" vertical="center" wrapText="1"/>
    </xf>
    <xf numFmtId="0" fontId="2" fillId="0" borderId="9" xfId="0" applyFont="1" applyBorder="1" applyAlignment="1">
      <alignment horizontal="center" vertical="center"/>
    </xf>
    <xf numFmtId="0" fontId="2" fillId="0" borderId="9" xfId="0" applyFont="1" applyFill="1" applyBorder="1" applyAlignment="1">
      <alignment horizontal="justify" vertical="center" wrapText="1"/>
    </xf>
    <xf numFmtId="0" fontId="2" fillId="0" borderId="9" xfId="0" applyFont="1" applyFill="1" applyBorder="1" applyAlignment="1">
      <alignment horizontal="justify" wrapText="1"/>
    </xf>
    <xf numFmtId="0" fontId="2" fillId="0" borderId="9" xfId="0" applyFont="1" applyFill="1" applyBorder="1" applyAlignment="1">
      <alignment horizontal="justify" vertical="top" wrapText="1"/>
    </xf>
    <xf numFmtId="0" fontId="2" fillId="0" borderId="14" xfId="0" applyFont="1" applyFill="1" applyBorder="1" applyAlignment="1">
      <alignment horizontal="justify" vertical="top" wrapText="1"/>
    </xf>
    <xf numFmtId="10" fontId="7" fillId="0" borderId="9" xfId="1" applyNumberFormat="1" applyFont="1" applyFill="1" applyBorder="1" applyAlignment="1">
      <alignment horizontal="right" vertical="center"/>
    </xf>
    <xf numFmtId="10" fontId="42" fillId="3" borderId="9" xfId="0" applyNumberFormat="1" applyFont="1" applyFill="1" applyBorder="1" applyAlignment="1">
      <alignment horizontal="center" vertical="center"/>
    </xf>
    <xf numFmtId="164" fontId="39" fillId="0" borderId="9" xfId="0" applyNumberFormat="1" applyFont="1" applyFill="1" applyBorder="1" applyAlignment="1">
      <alignment horizontal="center" vertical="center" wrapText="1"/>
    </xf>
    <xf numFmtId="43" fontId="7" fillId="0" borderId="9" xfId="3" applyFont="1" applyFill="1" applyBorder="1" applyAlignment="1">
      <alignment horizontal="center" vertical="center" wrapText="1"/>
    </xf>
    <xf numFmtId="0" fontId="5" fillId="7" borderId="26"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5" fillId="17" borderId="20" xfId="0" applyFont="1" applyFill="1" applyBorder="1" applyAlignment="1">
      <alignment horizontal="center" vertical="center"/>
    </xf>
    <xf numFmtId="0" fontId="5" fillId="17" borderId="26" xfId="0" applyFont="1" applyFill="1" applyBorder="1" applyAlignment="1">
      <alignment horizontal="center" vertical="center" wrapText="1"/>
    </xf>
    <xf numFmtId="0" fontId="5" fillId="17" borderId="20" xfId="0" applyFont="1" applyFill="1" applyBorder="1" applyAlignment="1">
      <alignment horizontal="center" vertical="center" wrapText="1"/>
    </xf>
    <xf numFmtId="0" fontId="5" fillId="18" borderId="20" xfId="0" applyFont="1" applyFill="1" applyBorder="1" applyAlignment="1">
      <alignment horizontal="center" vertical="center" wrapText="1"/>
    </xf>
    <xf numFmtId="0" fontId="5" fillId="10" borderId="20" xfId="0" applyFont="1" applyFill="1" applyBorder="1" applyAlignment="1">
      <alignment horizontal="center" vertical="center" wrapText="1"/>
    </xf>
    <xf numFmtId="0" fontId="5" fillId="10" borderId="12" xfId="0" applyFont="1" applyFill="1" applyBorder="1" applyAlignment="1">
      <alignment horizontal="center" vertical="center" wrapText="1"/>
    </xf>
    <xf numFmtId="0" fontId="41" fillId="19" borderId="20" xfId="0" applyFont="1" applyFill="1" applyBorder="1" applyAlignment="1">
      <alignment horizontal="center" vertical="center" wrapText="1"/>
    </xf>
    <xf numFmtId="0" fontId="41" fillId="4" borderId="20" xfId="0" applyFont="1" applyFill="1" applyBorder="1" applyAlignment="1">
      <alignment horizontal="center" vertical="center" wrapText="1"/>
    </xf>
    <xf numFmtId="9" fontId="42" fillId="3" borderId="1" xfId="0" applyNumberFormat="1" applyFont="1" applyFill="1" applyBorder="1" applyAlignment="1">
      <alignment horizontal="center" vertical="center"/>
    </xf>
    <xf numFmtId="9" fontId="39" fillId="0" borderId="1" xfId="1" applyFont="1" applyFill="1" applyBorder="1" applyAlignment="1">
      <alignment horizontal="center" vertical="center" wrapText="1"/>
    </xf>
    <xf numFmtId="0" fontId="7" fillId="0" borderId="1" xfId="0" applyFont="1" applyBorder="1" applyAlignment="1">
      <alignment horizontal="left" vertical="center" wrapText="1"/>
    </xf>
    <xf numFmtId="9" fontId="2" fillId="0" borderId="1" xfId="0" applyNumberFormat="1" applyFont="1" applyFill="1" applyBorder="1" applyAlignment="1">
      <alignment horizontal="center" vertical="center"/>
    </xf>
    <xf numFmtId="4" fontId="7" fillId="0" borderId="52" xfId="0" applyNumberFormat="1" applyFont="1" applyBorder="1" applyAlignment="1">
      <alignment horizontal="right" vertical="center"/>
    </xf>
    <xf numFmtId="4" fontId="51" fillId="0" borderId="52" xfId="0" applyNumberFormat="1" applyFont="1" applyBorder="1" applyAlignment="1">
      <alignment horizontal="right" vertical="center"/>
    </xf>
    <xf numFmtId="164" fontId="39" fillId="0" borderId="37" xfId="1" applyNumberFormat="1" applyFont="1" applyBorder="1" applyAlignment="1">
      <alignment horizontal="center" vertical="center"/>
    </xf>
    <xf numFmtId="9" fontId="7" fillId="0" borderId="9" xfId="1" applyNumberFormat="1" applyFont="1" applyBorder="1" applyAlignment="1">
      <alignment horizontal="center" vertical="center"/>
    </xf>
    <xf numFmtId="4" fontId="7" fillId="0" borderId="9" xfId="0" applyNumberFormat="1" applyFont="1" applyBorder="1" applyAlignment="1">
      <alignment horizontal="right" vertical="center"/>
    </xf>
    <xf numFmtId="0" fontId="7" fillId="3" borderId="9" xfId="0" applyFont="1" applyFill="1" applyBorder="1" applyAlignment="1">
      <alignment horizontal="justify" vertical="center" wrapText="1" readingOrder="1"/>
    </xf>
    <xf numFmtId="165" fontId="7" fillId="3" borderId="3" xfId="3" applyNumberFormat="1" applyFont="1" applyFill="1" applyBorder="1" applyAlignment="1">
      <alignment horizontal="center" vertical="center" wrapText="1"/>
    </xf>
    <xf numFmtId="43" fontId="7" fillId="3" borderId="2" xfId="3" applyNumberFormat="1" applyFont="1" applyFill="1" applyBorder="1" applyAlignment="1">
      <alignment horizontal="center" vertical="center" wrapText="1"/>
    </xf>
    <xf numFmtId="4" fontId="7" fillId="0" borderId="1" xfId="0" applyNumberFormat="1" applyFont="1" applyBorder="1" applyAlignment="1">
      <alignment horizontal="right" vertical="center"/>
    </xf>
    <xf numFmtId="165" fontId="7" fillId="3" borderId="1" xfId="3" applyNumberFormat="1" applyFont="1" applyFill="1" applyBorder="1" applyAlignment="1">
      <alignment horizontal="center" vertical="center" wrapText="1"/>
    </xf>
    <xf numFmtId="4" fontId="7" fillId="0" borderId="33" xfId="0" applyNumberFormat="1" applyFont="1" applyBorder="1" applyAlignment="1">
      <alignment horizontal="right" vertical="center"/>
    </xf>
    <xf numFmtId="4" fontId="51" fillId="0" borderId="33" xfId="0" applyNumberFormat="1" applyFont="1" applyBorder="1" applyAlignment="1">
      <alignment horizontal="right" vertical="center"/>
    </xf>
    <xf numFmtId="164" fontId="39" fillId="0" borderId="1" xfId="1" applyNumberFormat="1" applyFont="1" applyBorder="1" applyAlignment="1">
      <alignment horizontal="center" vertical="center"/>
    </xf>
    <xf numFmtId="9" fontId="7" fillId="0" borderId="1" xfId="1" applyFont="1" applyBorder="1" applyAlignment="1">
      <alignment horizontal="center" vertical="center"/>
    </xf>
    <xf numFmtId="0" fontId="0" fillId="0" borderId="33" xfId="0" applyFont="1" applyBorder="1" applyAlignment="1">
      <alignment horizontal="left" vertical="center" wrapText="1"/>
    </xf>
    <xf numFmtId="43" fontId="7" fillId="0" borderId="1" xfId="3" applyFont="1" applyBorder="1" applyAlignment="1">
      <alignment horizontal="left" vertical="center" wrapText="1"/>
    </xf>
    <xf numFmtId="0" fontId="2" fillId="0" borderId="1" xfId="0" applyFont="1" applyBorder="1" applyAlignment="1">
      <alignment vertical="center" wrapText="1"/>
    </xf>
    <xf numFmtId="9" fontId="2" fillId="0" borderId="1" xfId="0" applyNumberFormat="1" applyFont="1" applyBorder="1" applyAlignment="1">
      <alignment horizontal="right" vertical="center" wrapText="1"/>
    </xf>
    <xf numFmtId="0" fontId="2" fillId="0" borderId="1" xfId="0" applyFont="1" applyBorder="1" applyAlignment="1">
      <alignment horizontal="justify" vertical="top" wrapText="1"/>
    </xf>
    <xf numFmtId="0" fontId="7" fillId="0" borderId="14" xfId="0" applyFont="1" applyBorder="1" applyAlignment="1">
      <alignment horizontal="center" vertical="center" wrapText="1"/>
    </xf>
    <xf numFmtId="9" fontId="39" fillId="0" borderId="1" xfId="1" applyFont="1" applyBorder="1" applyAlignment="1">
      <alignment horizontal="center" vertical="center" wrapText="1"/>
    </xf>
    <xf numFmtId="0" fontId="7" fillId="0" borderId="14" xfId="0" applyFont="1" applyBorder="1" applyAlignment="1">
      <alignment horizontal="right" vertical="center" wrapText="1"/>
    </xf>
    <xf numFmtId="0" fontId="2" fillId="3" borderId="1" xfId="0" applyFont="1" applyFill="1" applyBorder="1" applyAlignment="1">
      <alignment horizontal="justify" vertical="center" wrapText="1" readingOrder="1"/>
    </xf>
    <xf numFmtId="0" fontId="2" fillId="0" borderId="37" xfId="0" applyFont="1" applyBorder="1" applyAlignment="1">
      <alignment horizontal="left" vertical="center" wrapText="1"/>
    </xf>
    <xf numFmtId="9" fontId="7" fillId="0" borderId="1" xfId="1" applyFont="1" applyBorder="1" applyAlignment="1">
      <alignment horizontal="center" vertical="center" wrapText="1"/>
    </xf>
    <xf numFmtId="9" fontId="7" fillId="0" borderId="14" xfId="1" applyFont="1" applyBorder="1" applyAlignment="1">
      <alignment horizontal="center" vertical="center" wrapText="1"/>
    </xf>
    <xf numFmtId="0" fontId="2" fillId="0" borderId="1" xfId="0" applyFont="1" applyBorder="1"/>
    <xf numFmtId="0" fontId="41" fillId="4" borderId="8" xfId="0" applyFont="1" applyFill="1" applyBorder="1" applyAlignment="1">
      <alignment horizontal="center" vertical="center" wrapText="1"/>
    </xf>
    <xf numFmtId="9" fontId="2" fillId="0" borderId="1" xfId="0" applyNumberFormat="1" applyFont="1" applyBorder="1" applyAlignment="1">
      <alignment horizontal="center" vertical="center"/>
    </xf>
    <xf numFmtId="10" fontId="2" fillId="0" borderId="1" xfId="0" applyNumberFormat="1" applyFont="1" applyBorder="1" applyAlignment="1">
      <alignment vertical="center"/>
    </xf>
    <xf numFmtId="0" fontId="20" fillId="0" borderId="24" xfId="0" applyFont="1" applyBorder="1" applyAlignment="1">
      <alignment horizontal="center" vertical="center"/>
    </xf>
    <xf numFmtId="0" fontId="20" fillId="0" borderId="15" xfId="0" applyFont="1" applyBorder="1" applyAlignment="1">
      <alignment horizontal="center" vertical="center"/>
    </xf>
    <xf numFmtId="0" fontId="2" fillId="0" borderId="0" xfId="0" applyFont="1" applyBorder="1" applyAlignment="1"/>
    <xf numFmtId="0" fontId="34" fillId="2" borderId="4" xfId="0" applyFont="1" applyFill="1" applyBorder="1" applyAlignment="1">
      <alignment horizontal="center" vertical="center" wrapText="1"/>
    </xf>
    <xf numFmtId="0" fontId="34" fillId="2" borderId="50" xfId="0" applyFont="1" applyFill="1" applyBorder="1" applyAlignment="1">
      <alignment horizontal="center" vertical="center" wrapText="1"/>
    </xf>
    <xf numFmtId="0" fontId="34" fillId="2" borderId="5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3" borderId="51" xfId="0"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34" fillId="2" borderId="25" xfId="0" applyFont="1" applyFill="1" applyBorder="1" applyAlignment="1">
      <alignment horizontal="center" vertical="center" wrapText="1"/>
    </xf>
    <xf numFmtId="0" fontId="34" fillId="2" borderId="13" xfId="0" applyFont="1" applyFill="1" applyBorder="1" applyAlignment="1">
      <alignment horizontal="center" vertical="center" wrapText="1"/>
    </xf>
    <xf numFmtId="0" fontId="34" fillId="2" borderId="53" xfId="0" applyFont="1" applyFill="1" applyBorder="1" applyAlignment="1">
      <alignment horizontal="center" vertical="center" wrapText="1"/>
    </xf>
    <xf numFmtId="0" fontId="39" fillId="7" borderId="6"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51" xfId="0" applyFont="1" applyFill="1" applyBorder="1" applyAlignment="1">
      <alignment horizontal="center" vertical="center"/>
    </xf>
    <xf numFmtId="0" fontId="39" fillId="7" borderId="51" xfId="0" applyFont="1" applyFill="1" applyBorder="1" applyAlignment="1">
      <alignment horizontal="center" vertical="center"/>
    </xf>
    <xf numFmtId="0" fontId="39" fillId="4" borderId="10" xfId="0" applyFont="1" applyFill="1" applyBorder="1" applyAlignment="1">
      <alignment horizontal="center" vertical="center"/>
    </xf>
    <xf numFmtId="0" fontId="39" fillId="4" borderId="6" xfId="0" applyFont="1" applyFill="1" applyBorder="1" applyAlignment="1">
      <alignment horizontal="center" vertical="center"/>
    </xf>
    <xf numFmtId="0" fontId="34" fillId="2" borderId="8" xfId="0" applyFont="1" applyFill="1" applyBorder="1" applyAlignment="1">
      <alignment horizontal="center" vertical="center" wrapText="1"/>
    </xf>
    <xf numFmtId="0" fontId="34" fillId="2" borderId="12" xfId="0" applyFont="1" applyFill="1" applyBorder="1" applyAlignment="1">
      <alignment horizontal="center" vertical="center"/>
    </xf>
    <xf numFmtId="0" fontId="34" fillId="2" borderId="12" xfId="0" applyFont="1" applyFill="1" applyBorder="1" applyAlignment="1">
      <alignment horizontal="center" vertical="center" wrapText="1"/>
    </xf>
    <xf numFmtId="0" fontId="48" fillId="17" borderId="5" xfId="0" applyFont="1" applyFill="1" applyBorder="1" applyAlignment="1">
      <alignment horizontal="center" vertical="center"/>
    </xf>
    <xf numFmtId="0" fontId="48" fillId="17" borderId="6" xfId="0" applyFont="1" applyFill="1" applyBorder="1" applyAlignment="1">
      <alignment horizontal="center" vertical="center"/>
    </xf>
    <xf numFmtId="0" fontId="48" fillId="17" borderId="7" xfId="0" applyFont="1" applyFill="1" applyBorder="1" applyAlignment="1">
      <alignment horizontal="center" vertical="center"/>
    </xf>
    <xf numFmtId="0" fontId="43" fillId="0" borderId="1" xfId="0" applyFont="1" applyBorder="1" applyAlignment="1">
      <alignment horizontal="center" vertical="center"/>
    </xf>
    <xf numFmtId="0" fontId="43" fillId="2" borderId="1" xfId="0" applyFont="1" applyFill="1" applyBorder="1" applyAlignment="1">
      <alignment horizontal="center" vertical="center" wrapText="1"/>
    </xf>
    <xf numFmtId="0" fontId="44" fillId="14" borderId="1"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34" fillId="2" borderId="20" xfId="0" applyFont="1" applyFill="1" applyBorder="1" applyAlignment="1">
      <alignment horizontal="center" vertical="center" wrapText="1"/>
    </xf>
    <xf numFmtId="0" fontId="34" fillId="2" borderId="31" xfId="0" applyFont="1" applyFill="1" applyBorder="1" applyAlignment="1">
      <alignment horizontal="center" vertical="center" wrapText="1"/>
    </xf>
    <xf numFmtId="0" fontId="34" fillId="2" borderId="48" xfId="0" applyFont="1" applyFill="1" applyBorder="1" applyAlignment="1">
      <alignment horizontal="center" vertical="center" wrapText="1"/>
    </xf>
    <xf numFmtId="0" fontId="34" fillId="2" borderId="36" xfId="0" applyFont="1" applyFill="1" applyBorder="1" applyAlignment="1">
      <alignment horizontal="center" vertical="center" wrapText="1"/>
    </xf>
    <xf numFmtId="0" fontId="34" fillId="2" borderId="34" xfId="0" applyFont="1" applyFill="1" applyBorder="1" applyAlignment="1">
      <alignment horizontal="center" vertical="center" wrapText="1"/>
    </xf>
    <xf numFmtId="0" fontId="36" fillId="4" borderId="35" xfId="0" applyFont="1" applyFill="1" applyBorder="1" applyAlignment="1">
      <alignment horizontal="center" vertical="center"/>
    </xf>
    <xf numFmtId="0" fontId="36" fillId="4" borderId="36" xfId="0" applyFont="1" applyFill="1" applyBorder="1" applyAlignment="1">
      <alignment horizontal="center" vertical="center"/>
    </xf>
    <xf numFmtId="0" fontId="6" fillId="3" borderId="1" xfId="0" applyFont="1" applyFill="1" applyBorder="1" applyAlignment="1">
      <alignment horizontal="center" vertical="center" wrapText="1"/>
    </xf>
    <xf numFmtId="0" fontId="38" fillId="13" borderId="11" xfId="0" applyFont="1" applyFill="1" applyBorder="1" applyAlignment="1">
      <alignment horizontal="center" vertical="center"/>
    </xf>
    <xf numFmtId="0" fontId="38" fillId="13" borderId="49" xfId="0" applyFont="1" applyFill="1" applyBorder="1" applyAlignment="1">
      <alignment horizontal="center" vertical="center"/>
    </xf>
    <xf numFmtId="0" fontId="38" fillId="13" borderId="47" xfId="0" applyFont="1" applyFill="1" applyBorder="1" applyAlignment="1">
      <alignment horizontal="center" vertical="center"/>
    </xf>
    <xf numFmtId="0" fontId="5" fillId="3" borderId="2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35" fillId="6" borderId="5" xfId="0" applyFont="1" applyFill="1" applyBorder="1" applyAlignment="1">
      <alignment horizontal="center" vertical="center"/>
    </xf>
    <xf numFmtId="0" fontId="35" fillId="6" borderId="6" xfId="0" applyFont="1" applyFill="1" applyBorder="1" applyAlignment="1">
      <alignment horizontal="center" vertical="center"/>
    </xf>
    <xf numFmtId="0" fontId="35" fillId="6" borderId="19" xfId="0" applyFont="1" applyFill="1" applyBorder="1" applyAlignment="1">
      <alignment horizontal="center" vertical="center"/>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1" fillId="10" borderId="38" xfId="0" applyFont="1" applyFill="1" applyBorder="1" applyAlignment="1">
      <alignment horizontal="center" vertical="center"/>
    </xf>
    <xf numFmtId="0" fontId="21" fillId="10" borderId="41" xfId="0" applyFont="1" applyFill="1" applyBorder="1" applyAlignment="1">
      <alignment horizontal="center" vertical="center"/>
    </xf>
    <xf numFmtId="0" fontId="21" fillId="10" borderId="39" xfId="0" applyFont="1" applyFill="1" applyBorder="1" applyAlignment="1">
      <alignment horizontal="center" vertical="center"/>
    </xf>
    <xf numFmtId="0" fontId="21" fillId="10" borderId="40" xfId="0" applyFont="1" applyFill="1" applyBorder="1" applyAlignment="1">
      <alignment horizontal="center" vertical="center"/>
    </xf>
    <xf numFmtId="0" fontId="21" fillId="10" borderId="39" xfId="0" applyFont="1" applyFill="1" applyBorder="1" applyAlignment="1">
      <alignment horizontal="center" vertical="center" wrapText="1"/>
    </xf>
    <xf numFmtId="0" fontId="21" fillId="10" borderId="40"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5" borderId="4"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6" fillId="4" borderId="4" xfId="0" applyFont="1" applyFill="1" applyBorder="1" applyAlignment="1">
      <alignment horizontal="center" vertical="center"/>
    </xf>
    <xf numFmtId="43" fontId="7" fillId="0" borderId="9" xfId="0" applyNumberFormat="1" applyFont="1" applyBorder="1" applyAlignment="1">
      <alignment horizontal="center" vertical="center"/>
    </xf>
    <xf numFmtId="0" fontId="41" fillId="6" borderId="4" xfId="0" applyFont="1" applyFill="1" applyBorder="1" applyAlignment="1">
      <alignment horizontal="center" vertical="center" wrapText="1"/>
    </xf>
    <xf numFmtId="0" fontId="41" fillId="20" borderId="4" xfId="0" applyFont="1" applyFill="1" applyBorder="1" applyAlignment="1">
      <alignment horizontal="center" vertical="center" wrapText="1"/>
    </xf>
    <xf numFmtId="167" fontId="7" fillId="0" borderId="1" xfId="3" applyNumberFormat="1" applyFont="1" applyFill="1" applyBorder="1" applyAlignment="1">
      <alignment horizontal="center" vertical="center" wrapText="1"/>
    </xf>
    <xf numFmtId="164" fontId="2" fillId="0" borderId="1" xfId="0" applyNumberFormat="1" applyFont="1" applyBorder="1" applyAlignment="1">
      <alignment horizontal="center" vertical="center"/>
    </xf>
  </cellXfs>
  <cellStyles count="5">
    <cellStyle name="Millares" xfId="3" builtinId="3"/>
    <cellStyle name="Moneda [0]" xfId="4" builtinId="7"/>
    <cellStyle name="Normal" xfId="0" builtinId="0"/>
    <cellStyle name="Normal 7" xfId="2" xr:uid="{00000000-0005-0000-0000-000003000000}"/>
    <cellStyle name="Porcentaje" xfId="1" builtinId="5"/>
  </cellStyles>
  <dxfs count="378">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71</xdr:col>
      <xdr:colOff>895804</xdr:colOff>
      <xdr:row>0</xdr:row>
      <xdr:rowOff>206375</xdr:rowOff>
    </xdr:from>
    <xdr:ext cx="1714500" cy="1943100"/>
    <xdr:pic>
      <xdr:nvPicPr>
        <xdr:cNvPr id="2" name="image1.png" title="Imagen">
          <a:extLst>
            <a:ext uri="{FF2B5EF4-FFF2-40B4-BE49-F238E27FC236}">
              <a16:creationId xmlns:a16="http://schemas.microsoft.com/office/drawing/2014/main" id="{E67464EB-CE59-4175-A260-348B006723CD}"/>
            </a:ext>
          </a:extLst>
        </xdr:cNvPr>
        <xdr:cNvPicPr preferRelativeResize="0"/>
      </xdr:nvPicPr>
      <xdr:blipFill>
        <a:blip xmlns:r="http://schemas.openxmlformats.org/officeDocument/2006/relationships" r:embed="rId1" cstate="print"/>
        <a:stretch>
          <a:fillRect/>
        </a:stretch>
      </xdr:blipFill>
      <xdr:spPr>
        <a:xfrm>
          <a:off x="188756018" y="206375"/>
          <a:ext cx="1714500" cy="1943100"/>
        </a:xfrm>
        <a:prstGeom prst="rect">
          <a:avLst/>
        </a:prstGeom>
        <a:noFill/>
      </xdr:spPr>
    </xdr:pic>
    <xdr:clientData fLocksWithSheet="0"/>
  </xdr:oneCellAnchor>
  <xdr:twoCellAnchor editAs="oneCell">
    <xdr:from>
      <xdr:col>1</xdr:col>
      <xdr:colOff>914400</xdr:colOff>
      <xdr:row>1</xdr:row>
      <xdr:rowOff>304800</xdr:rowOff>
    </xdr:from>
    <xdr:to>
      <xdr:col>1</xdr:col>
      <xdr:colOff>2362200</xdr:colOff>
      <xdr:row>1</xdr:row>
      <xdr:rowOff>2088679</xdr:rowOff>
    </xdr:to>
    <xdr:pic>
      <xdr:nvPicPr>
        <xdr:cNvPr id="3" name="Imagen 2">
          <a:extLst>
            <a:ext uri="{FF2B5EF4-FFF2-40B4-BE49-F238E27FC236}">
              <a16:creationId xmlns:a16="http://schemas.microsoft.com/office/drawing/2014/main" id="{9DA70BEA-E6D9-4B6A-86F1-9430E17B2D8B}"/>
            </a:ext>
          </a:extLst>
        </xdr:cNvPr>
        <xdr:cNvPicPr>
          <a:picLocks noChangeAspect="1"/>
        </xdr:cNvPicPr>
      </xdr:nvPicPr>
      <xdr:blipFill>
        <a:blip xmlns:r="http://schemas.openxmlformats.org/officeDocument/2006/relationships" r:embed="rId2"/>
        <a:stretch>
          <a:fillRect/>
        </a:stretch>
      </xdr:blipFill>
      <xdr:spPr>
        <a:xfrm>
          <a:off x="1676400" y="2571750"/>
          <a:ext cx="1447800" cy="1783879"/>
        </a:xfrm>
        <a:prstGeom prst="rect">
          <a:avLst/>
        </a:prstGeom>
      </xdr:spPr>
    </xdr:pic>
    <xdr:clientData/>
  </xdr:twoCellAnchor>
  <xdr:twoCellAnchor>
    <xdr:from>
      <xdr:col>1</xdr:col>
      <xdr:colOff>457200</xdr:colOff>
      <xdr:row>1</xdr:row>
      <xdr:rowOff>609600</xdr:rowOff>
    </xdr:from>
    <xdr:to>
      <xdr:col>64</xdr:col>
      <xdr:colOff>227399</xdr:colOff>
      <xdr:row>1</xdr:row>
      <xdr:rowOff>1562018</xdr:rowOff>
    </xdr:to>
    <xdr:sp macro="" textlink="">
      <xdr:nvSpPr>
        <xdr:cNvPr id="5" name="Text Box 21">
          <a:extLst>
            <a:ext uri="{FF2B5EF4-FFF2-40B4-BE49-F238E27FC236}">
              <a16:creationId xmlns:a16="http://schemas.microsoft.com/office/drawing/2014/main" id="{38052C46-3E22-4DDA-8845-1CF223BFCF06}"/>
            </a:ext>
          </a:extLst>
        </xdr:cNvPr>
        <xdr:cNvSpPr txBox="1">
          <a:spLocks noChangeArrowheads="1"/>
        </xdr:cNvSpPr>
      </xdr:nvSpPr>
      <xdr:spPr bwMode="auto">
        <a:xfrm>
          <a:off x="1219200" y="2876550"/>
          <a:ext cx="27792749" cy="9524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wrap="square">
          <a:noAutofit/>
        </a:bodyPr>
        <a:lstStyle>
          <a:defPPr>
            <a:defRPr lang="es-ES"/>
          </a:defPPr>
          <a:lvl1pPr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1pPr>
          <a:lvl2pPr marL="4572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2pPr>
          <a:lvl3pPr marL="9144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3pPr>
          <a:lvl4pPr marL="13716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4pPr>
          <a:lvl5pPr marL="18288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5pPr>
          <a:lvl6pPr marL="2286000" algn="l" defTabSz="914400" rtl="0" eaLnBrk="1" latinLnBrk="0" hangingPunct="1">
            <a:defRPr sz="2000" kern="1200">
              <a:solidFill>
                <a:schemeClr val="tx2"/>
              </a:solidFill>
              <a:latin typeface="Arial" panose="020B0604020202020204" pitchFamily="34" charset="0"/>
              <a:ea typeface="+mn-ea"/>
              <a:cs typeface="+mn-cs"/>
            </a:defRPr>
          </a:lvl6pPr>
          <a:lvl7pPr marL="2743200" algn="l" defTabSz="914400" rtl="0" eaLnBrk="1" latinLnBrk="0" hangingPunct="1">
            <a:defRPr sz="2000" kern="1200">
              <a:solidFill>
                <a:schemeClr val="tx2"/>
              </a:solidFill>
              <a:latin typeface="Arial" panose="020B0604020202020204" pitchFamily="34" charset="0"/>
              <a:ea typeface="+mn-ea"/>
              <a:cs typeface="+mn-cs"/>
            </a:defRPr>
          </a:lvl7pPr>
          <a:lvl8pPr marL="3200400" algn="l" defTabSz="914400" rtl="0" eaLnBrk="1" latinLnBrk="0" hangingPunct="1">
            <a:defRPr sz="2000" kern="1200">
              <a:solidFill>
                <a:schemeClr val="tx2"/>
              </a:solidFill>
              <a:latin typeface="Arial" panose="020B0604020202020204" pitchFamily="34" charset="0"/>
              <a:ea typeface="+mn-ea"/>
              <a:cs typeface="+mn-cs"/>
            </a:defRPr>
          </a:lvl8pPr>
          <a:lvl9pPr marL="3657600" algn="l" defTabSz="914400" rtl="0" eaLnBrk="1" latinLnBrk="0" hangingPunct="1">
            <a:defRPr sz="2000" kern="1200">
              <a:solidFill>
                <a:schemeClr val="tx2"/>
              </a:solidFill>
              <a:latin typeface="Arial" panose="020B0604020202020204" pitchFamily="34" charset="0"/>
              <a:ea typeface="+mn-ea"/>
              <a:cs typeface="+mn-cs"/>
            </a:defRPr>
          </a:lvl9pPr>
        </a:lstStyle>
        <a:p>
          <a:pPr algn="ctr" eaLnBrk="1" hangingPunct="1">
            <a:spcBef>
              <a:spcPct val="50000"/>
            </a:spcBef>
            <a:buFont typeface="Wingdings" panose="05000000000000000000" pitchFamily="2" charset="2"/>
            <a:buNone/>
          </a:pPr>
          <a:r>
            <a:rPr lang="es-CO" sz="2000" b="1" i="0" u="none" strike="noStrike" kern="1200">
              <a:solidFill>
                <a:schemeClr val="tx2"/>
              </a:solidFill>
              <a:effectLst/>
              <a:latin typeface="Arial" panose="020B0604020202020204" pitchFamily="34" charset="0"/>
              <a:ea typeface="+mn-ea"/>
              <a:cs typeface="+mn-cs"/>
            </a:rPr>
            <a:t>REPORTE DE SEGUIMIENTO INDICADORES DEL</a:t>
          </a:r>
          <a:r>
            <a:rPr lang="es-CO" sz="2000" b="1" i="0" u="none" strike="noStrike" kern="1200" baseline="0">
              <a:solidFill>
                <a:schemeClr val="tx2"/>
              </a:solidFill>
              <a:effectLst/>
              <a:latin typeface="Arial" panose="020B0604020202020204" pitchFamily="34" charset="0"/>
              <a:ea typeface="+mn-ea"/>
              <a:cs typeface="+mn-cs"/>
            </a:rPr>
            <a:t> PLAN NACIONAL DE DESAROLLO 2018-2022 "PACTO POR COLOMBIA, PACTO POR LA EQUIDAD"</a:t>
          </a:r>
          <a:endParaRPr lang="es-CO" sz="2000"/>
        </a:p>
        <a:p>
          <a:pPr algn="ctr" eaLnBrk="1" hangingPunct="1">
            <a:spcBef>
              <a:spcPct val="50000"/>
            </a:spcBef>
            <a:buFont typeface="Wingdings" panose="05000000000000000000" pitchFamily="2" charset="2"/>
            <a:buNone/>
          </a:pPr>
          <a:r>
            <a:rPr lang="es-CO" altLang="es-CO" sz="2000" b="0">
              <a:solidFill>
                <a:schemeClr val="tx2"/>
              </a:solidFill>
              <a:latin typeface="+mn-lt"/>
            </a:rPr>
            <a:t>INSTITUTO</a:t>
          </a:r>
          <a:r>
            <a:rPr lang="es-CO" altLang="es-CO" sz="2000" b="0" baseline="0">
              <a:solidFill>
                <a:schemeClr val="tx2"/>
              </a:solidFill>
              <a:latin typeface="+mn-lt"/>
            </a:rPr>
            <a:t> GEOGRÁFICO AGUSTÍN CODAZZI</a:t>
          </a:r>
          <a:endParaRPr lang="es-CO" altLang="es-CO" sz="2000" b="0">
            <a:solidFill>
              <a:schemeClr val="tx2"/>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50</xdr:col>
      <xdr:colOff>0</xdr:colOff>
      <xdr:row>0</xdr:row>
      <xdr:rowOff>0</xdr:rowOff>
    </xdr:from>
    <xdr:ext cx="775607" cy="503464"/>
    <xdr:pic>
      <xdr:nvPicPr>
        <xdr:cNvPr id="2" name="image1.png" title="Imagen">
          <a:extLst>
            <a:ext uri="{FF2B5EF4-FFF2-40B4-BE49-F238E27FC236}">
              <a16:creationId xmlns:a16="http://schemas.microsoft.com/office/drawing/2014/main" id="{89270852-DA8A-4824-B536-E0842F89E781}"/>
            </a:ext>
          </a:extLst>
        </xdr:cNvPr>
        <xdr:cNvPicPr preferRelativeResize="0"/>
      </xdr:nvPicPr>
      <xdr:blipFill>
        <a:blip xmlns:r="http://schemas.openxmlformats.org/officeDocument/2006/relationships" r:embed="rId1" cstate="print"/>
        <a:stretch>
          <a:fillRect/>
        </a:stretch>
      </xdr:blipFill>
      <xdr:spPr>
        <a:xfrm>
          <a:off x="146766643" y="0"/>
          <a:ext cx="775607" cy="503464"/>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F25"/>
  <sheetViews>
    <sheetView showGridLines="0" tabSelected="1" topLeftCell="A2" zoomScale="50" zoomScaleNormal="50" workbookViewId="0">
      <pane xSplit="3" ySplit="3" topLeftCell="D13" activePane="bottomRight" state="frozen"/>
      <selection activeCell="A2" sqref="A2"/>
      <selection pane="topRight" activeCell="C2" sqref="C2"/>
      <selection pane="bottomLeft" activeCell="A4" sqref="A4"/>
      <selection pane="bottomRight" activeCell="E17" sqref="E17"/>
    </sheetView>
  </sheetViews>
  <sheetFormatPr baseColWidth="10" defaultColWidth="11.42578125" defaultRowHeight="15" x14ac:dyDescent="0.2"/>
  <cols>
    <col min="1" max="1" width="11.42578125" style="1"/>
    <col min="2" max="2" width="43.42578125" style="1" customWidth="1"/>
    <col min="3" max="3" width="57.7109375" style="1" customWidth="1"/>
    <col min="4" max="4" width="21.7109375" style="1" customWidth="1"/>
    <col min="5" max="5" width="46.28515625" style="1" customWidth="1"/>
    <col min="6" max="6" width="27.7109375" style="1" customWidth="1"/>
    <col min="7" max="7" width="13.42578125" style="1" customWidth="1"/>
    <col min="8" max="9" width="12.28515625" style="1" customWidth="1"/>
    <col min="10" max="10" width="12.5703125" style="1" customWidth="1"/>
    <col min="11" max="11" width="26.28515625" style="1" customWidth="1"/>
    <col min="12" max="12" width="37.28515625" style="1" customWidth="1"/>
    <col min="13" max="13" width="26.42578125" style="1" customWidth="1"/>
    <col min="14" max="15" width="29.7109375" style="1" customWidth="1"/>
    <col min="16" max="16" width="21" style="3" hidden="1" customWidth="1"/>
    <col min="17" max="19" width="25.5703125" style="3" hidden="1" customWidth="1"/>
    <col min="20" max="20" width="31.7109375" style="3" hidden="1" customWidth="1"/>
    <col min="21" max="21" width="72.7109375" style="3" hidden="1" customWidth="1"/>
    <col min="22" max="22" width="35.7109375" style="3" hidden="1" customWidth="1"/>
    <col min="23" max="25" width="20.5703125" style="144" hidden="1" customWidth="1"/>
    <col min="26" max="26" width="28.140625" style="144" hidden="1" customWidth="1"/>
    <col min="27" max="27" width="28" style="144" hidden="1" customWidth="1"/>
    <col min="28" max="28" width="32.7109375" style="144" hidden="1" customWidth="1"/>
    <col min="29" max="29" width="71" style="3" hidden="1" customWidth="1"/>
    <col min="30" max="31" width="32.7109375" style="3" hidden="1" customWidth="1"/>
    <col min="32" max="32" width="72.7109375" style="3" hidden="1" customWidth="1"/>
    <col min="33" max="33" width="34" style="3" hidden="1" customWidth="1"/>
    <col min="34" max="34" width="30.7109375" style="3" hidden="1" customWidth="1"/>
    <col min="35" max="35" width="102.42578125" style="3" hidden="1" customWidth="1"/>
    <col min="36" max="36" width="25.7109375" style="3" hidden="1" customWidth="1"/>
    <col min="37" max="37" width="27.42578125" style="3" hidden="1" customWidth="1"/>
    <col min="38" max="38" width="112" style="3" hidden="1" customWidth="1"/>
    <col min="39" max="39" width="34.85546875" style="3" hidden="1" customWidth="1"/>
    <col min="40" max="40" width="36.5703125" style="3" hidden="1" customWidth="1"/>
    <col min="41" max="41" width="87.5703125" style="3" hidden="1" customWidth="1"/>
    <col min="42" max="43" width="31.42578125" style="3" hidden="1" customWidth="1"/>
    <col min="44" max="44" width="134.28515625" style="3" hidden="1" customWidth="1"/>
    <col min="45" max="45" width="36.42578125" style="3" hidden="1" customWidth="1"/>
    <col min="46" max="46" width="28.28515625" style="3" hidden="1" customWidth="1"/>
    <col min="47" max="47" width="98.7109375" style="3" hidden="1" customWidth="1"/>
    <col min="48" max="48" width="40" style="3" hidden="1" customWidth="1"/>
    <col min="49" max="49" width="45.42578125" style="3" hidden="1" customWidth="1"/>
    <col min="50" max="50" width="98.7109375" style="3" hidden="1" customWidth="1"/>
    <col min="51" max="51" width="50" style="3" hidden="1" customWidth="1"/>
    <col min="52" max="52" width="38.140625" style="3" hidden="1" customWidth="1"/>
    <col min="53" max="53" width="98.7109375" style="3" hidden="1" customWidth="1"/>
    <col min="54" max="54" width="25" style="3" hidden="1" customWidth="1"/>
    <col min="55" max="55" width="34.7109375" style="3" hidden="1" customWidth="1"/>
    <col min="56" max="56" width="26.28515625" style="3" hidden="1" customWidth="1"/>
    <col min="57" max="57" width="26.140625" style="3" hidden="1" customWidth="1"/>
    <col min="58" max="58" width="24.7109375" style="3" hidden="1" customWidth="1"/>
    <col min="59" max="60" width="36.42578125" style="3" hidden="1" customWidth="1"/>
    <col min="61" max="61" width="81.42578125" style="3" hidden="1" customWidth="1"/>
    <col min="62" max="62" width="32.5703125" style="3" hidden="1" customWidth="1"/>
    <col min="63" max="63" width="23.140625" style="3" customWidth="1"/>
    <col min="64" max="64" width="28.85546875" style="3" hidden="1" customWidth="1"/>
    <col min="65" max="65" width="27.7109375" style="3" customWidth="1"/>
    <col min="66" max="66" width="28.28515625" style="3" hidden="1" customWidth="1"/>
    <col min="67" max="70" width="31.140625" style="3" hidden="1" customWidth="1"/>
    <col min="71" max="71" width="68.5703125" style="3" hidden="1" customWidth="1"/>
    <col min="72" max="77" width="36.5703125" style="3" hidden="1" customWidth="1"/>
    <col min="78" max="78" width="55.140625" style="3" hidden="1" customWidth="1"/>
    <col min="79" max="84" width="43.28515625" style="3" hidden="1" customWidth="1"/>
    <col min="85" max="85" width="90.85546875" style="3" hidden="1" customWidth="1"/>
    <col min="86" max="89" width="43.28515625" style="3" hidden="1" customWidth="1"/>
    <col min="90" max="91" width="27.85546875" style="3" customWidth="1"/>
    <col min="92" max="92" width="167.28515625" style="3" customWidth="1"/>
    <col min="93" max="95" width="27.85546875" style="3" customWidth="1"/>
    <col min="96" max="96" width="29.85546875" style="3" hidden="1" customWidth="1"/>
    <col min="97" max="97" width="30.5703125" style="1" customWidth="1"/>
    <col min="98" max="98" width="28" style="1" customWidth="1"/>
    <col min="99" max="99" width="126.42578125" style="1" customWidth="1"/>
    <col min="100" max="100" width="33.42578125" style="1" customWidth="1"/>
    <col min="101" max="101" width="37.7109375" style="1" customWidth="1"/>
    <col min="102" max="102" width="40.85546875" style="1" customWidth="1"/>
    <col min="103" max="103" width="30.85546875" style="1" hidden="1" customWidth="1"/>
    <col min="104" max="104" width="22.5703125" style="1" customWidth="1"/>
    <col min="105" max="105" width="22" style="1" customWidth="1"/>
    <col min="106" max="106" width="94.28515625" style="1" customWidth="1"/>
    <col min="107" max="107" width="30.28515625" style="1" customWidth="1"/>
    <col min="108" max="108" width="26.85546875" style="1" customWidth="1"/>
    <col min="109" max="109" width="25.140625" style="1" customWidth="1"/>
    <col min="110" max="110" width="37.42578125" style="1" hidden="1" customWidth="1"/>
    <col min="111" max="16384" width="11.42578125" style="1"/>
  </cols>
  <sheetData>
    <row r="1" spans="1:110" ht="178.5" customHeight="1" thickBot="1" x14ac:dyDescent="0.25">
      <c r="B1" s="372" t="s">
        <v>44</v>
      </c>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c r="AV1" s="373"/>
      <c r="AW1" s="373"/>
      <c r="AX1" s="373"/>
      <c r="AY1" s="373"/>
      <c r="AZ1" s="373"/>
      <c r="BA1" s="373"/>
      <c r="BB1" s="373"/>
      <c r="BC1" s="373"/>
      <c r="BD1" s="373"/>
      <c r="BE1" s="373"/>
      <c r="BF1" s="373"/>
      <c r="BG1" s="373"/>
      <c r="BH1" s="373"/>
      <c r="BI1" s="373"/>
      <c r="BJ1" s="373"/>
      <c r="BK1" s="374"/>
      <c r="BL1" s="374"/>
      <c r="BM1" s="374"/>
      <c r="BN1" s="374"/>
      <c r="BO1" s="374"/>
      <c r="BP1" s="374"/>
      <c r="BQ1" s="374"/>
      <c r="BR1" s="374"/>
      <c r="BS1" s="374"/>
      <c r="BT1" s="374"/>
      <c r="BU1" s="374"/>
      <c r="BV1" s="374"/>
      <c r="BW1" s="374"/>
      <c r="BX1" s="374"/>
      <c r="BY1" s="374"/>
      <c r="BZ1" s="374"/>
      <c r="CA1" s="374"/>
      <c r="CB1" s="374"/>
      <c r="CC1" s="374"/>
      <c r="CD1" s="374"/>
      <c r="CE1" s="374"/>
      <c r="CF1" s="374"/>
      <c r="CG1" s="374"/>
      <c r="CH1" s="374"/>
      <c r="CI1" s="374"/>
      <c r="CJ1" s="374"/>
      <c r="CK1" s="374"/>
      <c r="CL1" s="242" t="s">
        <v>216</v>
      </c>
      <c r="CM1" s="242"/>
      <c r="CN1" s="242"/>
      <c r="CO1" s="242"/>
      <c r="CP1" s="242"/>
      <c r="CQ1" s="242"/>
      <c r="CR1" s="3" t="s">
        <v>217</v>
      </c>
    </row>
    <row r="2" spans="1:110" s="311" customFormat="1" ht="178.5" customHeight="1" thickBot="1" x14ac:dyDescent="0.3"/>
    <row r="3" spans="1:110" ht="44.25" customHeight="1" thickBot="1" x14ac:dyDescent="0.25">
      <c r="A3" s="365" t="s">
        <v>299</v>
      </c>
      <c r="B3" s="371" t="s">
        <v>0</v>
      </c>
      <c r="C3" s="369" t="s">
        <v>13</v>
      </c>
      <c r="D3" s="386" t="s">
        <v>2</v>
      </c>
      <c r="E3" s="386" t="s">
        <v>86</v>
      </c>
      <c r="F3" s="386" t="s">
        <v>246</v>
      </c>
      <c r="G3" s="368" t="s">
        <v>3</v>
      </c>
      <c r="H3" s="368"/>
      <c r="I3" s="368"/>
      <c r="J3" s="368"/>
      <c r="K3" s="377" t="s">
        <v>36</v>
      </c>
      <c r="L3" s="375" t="s">
        <v>62</v>
      </c>
      <c r="M3" s="377" t="s">
        <v>102</v>
      </c>
      <c r="N3" s="379" t="s">
        <v>263</v>
      </c>
      <c r="O3" s="379" t="s">
        <v>264</v>
      </c>
      <c r="P3" s="384" t="s">
        <v>215</v>
      </c>
      <c r="Q3" s="384"/>
      <c r="R3" s="385"/>
      <c r="S3" s="385"/>
      <c r="T3" s="384"/>
      <c r="U3" s="385"/>
      <c r="V3" s="384"/>
      <c r="W3" s="380" t="s">
        <v>134</v>
      </c>
      <c r="X3" s="381"/>
      <c r="Y3" s="381"/>
      <c r="Z3" s="381"/>
      <c r="AA3" s="381"/>
      <c r="AB3" s="381"/>
      <c r="AC3" s="381"/>
      <c r="AD3" s="381"/>
      <c r="AE3" s="381"/>
      <c r="AF3" s="381"/>
      <c r="AG3" s="381"/>
      <c r="AH3" s="381"/>
      <c r="AI3" s="381"/>
      <c r="AJ3" s="381"/>
      <c r="AK3" s="381"/>
      <c r="AL3" s="381"/>
      <c r="AM3" s="381"/>
      <c r="AN3" s="381"/>
      <c r="AO3" s="381"/>
      <c r="AP3" s="381"/>
      <c r="AQ3" s="381"/>
      <c r="AR3" s="381"/>
      <c r="AS3" s="381"/>
      <c r="AT3" s="381"/>
      <c r="AU3" s="381"/>
      <c r="AV3" s="381"/>
      <c r="AW3" s="381"/>
      <c r="AX3" s="381"/>
      <c r="AY3" s="381"/>
      <c r="AZ3" s="381"/>
      <c r="BA3" s="381"/>
      <c r="BB3" s="380"/>
      <c r="BC3" s="381"/>
      <c r="BD3" s="382"/>
      <c r="BE3" s="382"/>
      <c r="BF3" s="383"/>
      <c r="BG3" s="380"/>
      <c r="BH3" s="380"/>
      <c r="BI3" s="383"/>
      <c r="BJ3" s="380"/>
      <c r="BK3" s="389" t="s">
        <v>313</v>
      </c>
      <c r="BL3" s="390"/>
      <c r="BM3" s="390"/>
      <c r="BN3" s="390"/>
      <c r="BO3" s="390"/>
      <c r="BP3" s="390"/>
      <c r="BQ3" s="390"/>
      <c r="BR3" s="390"/>
      <c r="BS3" s="390"/>
      <c r="BT3" s="390"/>
      <c r="BU3" s="390"/>
      <c r="BV3" s="390"/>
      <c r="BW3" s="390"/>
      <c r="BX3" s="390"/>
      <c r="BY3" s="390"/>
      <c r="BZ3" s="390"/>
      <c r="CA3" s="390"/>
      <c r="CB3" s="390"/>
      <c r="CC3" s="390"/>
      <c r="CD3" s="390"/>
      <c r="CE3" s="390"/>
      <c r="CF3" s="390"/>
      <c r="CG3" s="390"/>
      <c r="CH3" s="390"/>
      <c r="CI3" s="390"/>
      <c r="CJ3" s="390"/>
      <c r="CK3" s="390"/>
      <c r="CL3" s="390"/>
      <c r="CM3" s="390"/>
      <c r="CN3" s="390"/>
      <c r="CO3" s="390"/>
      <c r="CP3" s="390"/>
      <c r="CQ3" s="390"/>
      <c r="CR3" s="390"/>
      <c r="CS3" s="390"/>
      <c r="CT3" s="390"/>
      <c r="CU3" s="390"/>
      <c r="CV3" s="390"/>
      <c r="CW3" s="390"/>
      <c r="CX3" s="390"/>
      <c r="CY3" s="390"/>
      <c r="CZ3" s="390"/>
      <c r="DA3" s="390"/>
      <c r="DB3" s="390"/>
      <c r="DC3" s="390"/>
      <c r="DD3" s="390"/>
      <c r="DE3" s="390"/>
      <c r="DF3" s="391"/>
    </row>
    <row r="4" spans="1:110" ht="79.5" customHeight="1" thickBot="1" x14ac:dyDescent="0.25">
      <c r="A4" s="366"/>
      <c r="B4" s="371"/>
      <c r="C4" s="370"/>
      <c r="D4" s="388"/>
      <c r="E4" s="388"/>
      <c r="F4" s="387"/>
      <c r="G4" s="191">
        <v>2019</v>
      </c>
      <c r="H4" s="191">
        <v>2020</v>
      </c>
      <c r="I4" s="191">
        <v>2021</v>
      </c>
      <c r="J4" s="191">
        <v>2022</v>
      </c>
      <c r="K4" s="378"/>
      <c r="L4" s="376"/>
      <c r="M4" s="378"/>
      <c r="N4" s="376"/>
      <c r="O4" s="376"/>
      <c r="P4" s="192" t="s">
        <v>220</v>
      </c>
      <c r="Q4" s="193" t="s">
        <v>219</v>
      </c>
      <c r="R4" s="193" t="s">
        <v>211</v>
      </c>
      <c r="S4" s="193" t="s">
        <v>226</v>
      </c>
      <c r="T4" s="193" t="s">
        <v>244</v>
      </c>
      <c r="U4" s="193" t="s">
        <v>25</v>
      </c>
      <c r="V4" s="193" t="s">
        <v>245</v>
      </c>
      <c r="W4" s="195" t="s">
        <v>221</v>
      </c>
      <c r="X4" s="194" t="s">
        <v>212</v>
      </c>
      <c r="Y4" s="194" t="s">
        <v>213</v>
      </c>
      <c r="Z4" s="195" t="s">
        <v>88</v>
      </c>
      <c r="AA4" s="195" t="s">
        <v>49</v>
      </c>
      <c r="AB4" s="195" t="s">
        <v>21</v>
      </c>
      <c r="AC4" s="196" t="s">
        <v>50</v>
      </c>
      <c r="AD4" s="195" t="s">
        <v>51</v>
      </c>
      <c r="AE4" s="195" t="s">
        <v>52</v>
      </c>
      <c r="AF4" s="196" t="s">
        <v>53</v>
      </c>
      <c r="AG4" s="195" t="s">
        <v>71</v>
      </c>
      <c r="AH4" s="195" t="s">
        <v>72</v>
      </c>
      <c r="AI4" s="197" t="s">
        <v>73</v>
      </c>
      <c r="AJ4" s="198" t="s">
        <v>89</v>
      </c>
      <c r="AK4" s="195" t="s">
        <v>90</v>
      </c>
      <c r="AL4" s="195" t="s">
        <v>91</v>
      </c>
      <c r="AM4" s="198" t="s">
        <v>103</v>
      </c>
      <c r="AN4" s="195" t="s">
        <v>104</v>
      </c>
      <c r="AO4" s="195" t="s">
        <v>112</v>
      </c>
      <c r="AP4" s="195" t="s">
        <v>115</v>
      </c>
      <c r="AQ4" s="195" t="s">
        <v>114</v>
      </c>
      <c r="AR4" s="321" t="s">
        <v>113</v>
      </c>
      <c r="AS4" s="195" t="s">
        <v>123</v>
      </c>
      <c r="AT4" s="195" t="s">
        <v>124</v>
      </c>
      <c r="AU4" s="321" t="s">
        <v>125</v>
      </c>
      <c r="AV4" s="195" t="s">
        <v>135</v>
      </c>
      <c r="AW4" s="195" t="s">
        <v>136</v>
      </c>
      <c r="AX4" s="321" t="s">
        <v>137</v>
      </c>
      <c r="AY4" s="195" t="s">
        <v>148</v>
      </c>
      <c r="AZ4" s="195" t="s">
        <v>146</v>
      </c>
      <c r="BA4" s="321" t="s">
        <v>147</v>
      </c>
      <c r="BB4" s="321" t="s">
        <v>266</v>
      </c>
      <c r="BC4" s="321" t="s">
        <v>214</v>
      </c>
      <c r="BD4" s="322" t="s">
        <v>211</v>
      </c>
      <c r="BE4" s="322" t="s">
        <v>226</v>
      </c>
      <c r="BF4" s="322" t="s">
        <v>224</v>
      </c>
      <c r="BG4" s="195" t="s">
        <v>225</v>
      </c>
      <c r="BH4" s="195" t="s">
        <v>223</v>
      </c>
      <c r="BI4" s="322" t="s">
        <v>218</v>
      </c>
      <c r="BJ4" s="195" t="s">
        <v>222</v>
      </c>
      <c r="BK4" s="323" t="s">
        <v>234</v>
      </c>
      <c r="BL4" s="324" t="s">
        <v>235</v>
      </c>
      <c r="BM4" s="324" t="s">
        <v>240</v>
      </c>
      <c r="BN4" s="324" t="s">
        <v>241</v>
      </c>
      <c r="BO4" s="325" t="s">
        <v>236</v>
      </c>
      <c r="BP4" s="325" t="s">
        <v>238</v>
      </c>
      <c r="BQ4" s="326" t="s">
        <v>237</v>
      </c>
      <c r="BR4" s="326" t="s">
        <v>250</v>
      </c>
      <c r="BS4" s="326" t="s">
        <v>239</v>
      </c>
      <c r="BT4" s="326" t="s">
        <v>274</v>
      </c>
      <c r="BU4" s="326" t="s">
        <v>267</v>
      </c>
      <c r="BV4" s="326" t="s">
        <v>268</v>
      </c>
      <c r="BW4" s="326" t="s">
        <v>275</v>
      </c>
      <c r="BX4" s="327" t="s">
        <v>260</v>
      </c>
      <c r="BY4" s="327" t="s">
        <v>250</v>
      </c>
      <c r="BZ4" s="327" t="s">
        <v>261</v>
      </c>
      <c r="CA4" s="328" t="s">
        <v>286</v>
      </c>
      <c r="CB4" s="328" t="s">
        <v>269</v>
      </c>
      <c r="CC4" s="328" t="s">
        <v>270</v>
      </c>
      <c r="CD4" s="328" t="s">
        <v>275</v>
      </c>
      <c r="CE4" s="329" t="s">
        <v>287</v>
      </c>
      <c r="CF4" s="329" t="s">
        <v>250</v>
      </c>
      <c r="CG4" s="329" t="s">
        <v>288</v>
      </c>
      <c r="CH4" s="329" t="s">
        <v>274</v>
      </c>
      <c r="CI4" s="329" t="s">
        <v>267</v>
      </c>
      <c r="CJ4" s="329" t="s">
        <v>268</v>
      </c>
      <c r="CK4" s="329" t="s">
        <v>275</v>
      </c>
      <c r="CL4" s="330" t="s">
        <v>310</v>
      </c>
      <c r="CM4" s="330" t="s">
        <v>250</v>
      </c>
      <c r="CN4" s="330" t="s">
        <v>312</v>
      </c>
      <c r="CO4" s="362" t="s">
        <v>274</v>
      </c>
      <c r="CP4" s="362" t="s">
        <v>267</v>
      </c>
      <c r="CQ4" s="362" t="s">
        <v>268</v>
      </c>
      <c r="CR4" s="362" t="s">
        <v>275</v>
      </c>
      <c r="CS4" s="440" t="s">
        <v>325</v>
      </c>
      <c r="CT4" s="440" t="s">
        <v>250</v>
      </c>
      <c r="CU4" s="440" t="s">
        <v>326</v>
      </c>
      <c r="CV4" s="440" t="s">
        <v>274</v>
      </c>
      <c r="CW4" s="440" t="s">
        <v>267</v>
      </c>
      <c r="CX4" s="440" t="s">
        <v>268</v>
      </c>
      <c r="CY4" s="440" t="s">
        <v>275</v>
      </c>
      <c r="CZ4" s="441" t="s">
        <v>335</v>
      </c>
      <c r="DA4" s="441" t="s">
        <v>250</v>
      </c>
      <c r="DB4" s="441" t="s">
        <v>336</v>
      </c>
      <c r="DC4" s="441" t="s">
        <v>274</v>
      </c>
      <c r="DD4" s="441" t="s">
        <v>267</v>
      </c>
      <c r="DE4" s="441" t="s">
        <v>268</v>
      </c>
      <c r="DF4" s="441" t="s">
        <v>275</v>
      </c>
    </row>
    <row r="5" spans="1:110" ht="207.75" customHeight="1" x14ac:dyDescent="0.2">
      <c r="A5" s="312">
        <v>1</v>
      </c>
      <c r="B5" s="21" t="s">
        <v>35</v>
      </c>
      <c r="C5" s="220" t="s">
        <v>272</v>
      </c>
      <c r="D5" s="44" t="s">
        <v>4</v>
      </c>
      <c r="E5" s="33" t="s">
        <v>84</v>
      </c>
      <c r="F5" s="71" t="s">
        <v>242</v>
      </c>
      <c r="G5" s="45">
        <v>0.03</v>
      </c>
      <c r="H5" s="46">
        <v>0.23</v>
      </c>
      <c r="I5" s="46">
        <v>0.5</v>
      </c>
      <c r="J5" s="46">
        <v>0.6</v>
      </c>
      <c r="K5" s="47" t="s">
        <v>314</v>
      </c>
      <c r="L5" s="71" t="s">
        <v>63</v>
      </c>
      <c r="M5" s="30">
        <v>0.6</v>
      </c>
      <c r="N5" s="282">
        <v>68457962</v>
      </c>
      <c r="O5" s="282">
        <v>114174800</v>
      </c>
      <c r="P5" s="48">
        <v>0.03</v>
      </c>
      <c r="Q5" s="49">
        <v>0.03</v>
      </c>
      <c r="R5" s="254">
        <v>3820715.53</v>
      </c>
      <c r="S5" s="254">
        <v>3820715.53</v>
      </c>
      <c r="T5" s="163">
        <f t="shared" ref="T5:T10" si="0">Q5/P5</f>
        <v>1</v>
      </c>
      <c r="U5" s="161" t="s">
        <v>26</v>
      </c>
      <c r="V5" s="255">
        <f>Q5/M5</f>
        <v>0.05</v>
      </c>
      <c r="W5" s="152">
        <v>0.23</v>
      </c>
      <c r="X5" s="238"/>
      <c r="Y5" s="238"/>
      <c r="Z5" s="145">
        <v>20253667.789999999</v>
      </c>
      <c r="AA5" s="145">
        <v>0</v>
      </c>
      <c r="AB5" s="163">
        <f>AA5/20%</f>
        <v>0</v>
      </c>
      <c r="AC5" s="72" t="s">
        <v>37</v>
      </c>
      <c r="AD5" s="145">
        <v>34421</v>
      </c>
      <c r="AE5" s="168">
        <f>AD5/Z5</f>
        <v>1.6994946474334367E-3</v>
      </c>
      <c r="AF5" s="72" t="s">
        <v>58</v>
      </c>
      <c r="AG5" s="158">
        <v>101437</v>
      </c>
      <c r="AH5" s="169">
        <f>AG5/Z5</f>
        <v>5.0083274324309434E-3</v>
      </c>
      <c r="AI5" s="68" t="s">
        <v>75</v>
      </c>
      <c r="AJ5" s="158">
        <v>102037</v>
      </c>
      <c r="AK5" s="169">
        <f>AJ5/Z5</f>
        <v>5.0379516963529698E-3</v>
      </c>
      <c r="AL5" s="313" t="s">
        <v>94</v>
      </c>
      <c r="AM5" s="158">
        <v>1805376</v>
      </c>
      <c r="AN5" s="169">
        <f>AM5/Z5</f>
        <v>8.913822517081979E-2</v>
      </c>
      <c r="AO5" s="313" t="s">
        <v>107</v>
      </c>
      <c r="AP5" s="158">
        <v>4784680</v>
      </c>
      <c r="AQ5" s="169">
        <f>AP5/Z5</f>
        <v>0.23623770517073345</v>
      </c>
      <c r="AR5" s="314" t="s">
        <v>117</v>
      </c>
      <c r="AS5" s="335">
        <v>6037259.96</v>
      </c>
      <c r="AT5" s="169">
        <f>+AS5/Z5</f>
        <v>0.29808230403486835</v>
      </c>
      <c r="AU5" s="314" t="s">
        <v>128</v>
      </c>
      <c r="AV5" s="335">
        <v>7415231.2000000002</v>
      </c>
      <c r="AW5" s="169">
        <f>+AV5/Z5</f>
        <v>0.36611794351940441</v>
      </c>
      <c r="AX5" s="315" t="s">
        <v>142</v>
      </c>
      <c r="AY5" s="336">
        <v>7918051.8399999999</v>
      </c>
      <c r="AZ5" s="83">
        <f>+AY5/Z5</f>
        <v>0.39094409576074124</v>
      </c>
      <c r="BA5" s="316" t="s">
        <v>154</v>
      </c>
      <c r="BB5" s="317">
        <v>0.1176</v>
      </c>
      <c r="BC5" s="243"/>
      <c r="BD5" s="283">
        <v>26242218.77</v>
      </c>
      <c r="BE5" s="283">
        <v>13418129</v>
      </c>
      <c r="BF5" s="163">
        <f t="shared" ref="BF5:BF10" si="1">BB5/W5</f>
        <v>0.51130434782608691</v>
      </c>
      <c r="BG5" s="256"/>
      <c r="BH5" s="243"/>
      <c r="BI5" s="266" t="s">
        <v>248</v>
      </c>
      <c r="BJ5" s="337">
        <f t="shared" ref="BJ5:BJ10" si="2">BB5/M5</f>
        <v>0.19600000000000001</v>
      </c>
      <c r="BK5" s="338">
        <f>I5</f>
        <v>0.5</v>
      </c>
      <c r="BL5" s="339"/>
      <c r="BM5" s="339">
        <f>O5*50/100</f>
        <v>57087400</v>
      </c>
      <c r="BN5" s="339"/>
      <c r="BO5" s="339"/>
      <c r="BP5" s="315"/>
      <c r="BQ5" s="339">
        <v>77801</v>
      </c>
      <c r="BR5" s="318">
        <f>BQ5/BM5</f>
        <v>1.36284013635233E-3</v>
      </c>
      <c r="BS5" s="340" t="s">
        <v>251</v>
      </c>
      <c r="BT5" s="306">
        <f>BB5/M5</f>
        <v>0.19600000000000001</v>
      </c>
      <c r="BU5" s="339">
        <v>13495930.109999999</v>
      </c>
      <c r="BV5" s="306">
        <f>BU5/O5</f>
        <v>0.11820410554693329</v>
      </c>
      <c r="BW5" s="306">
        <f>+BU5/N5</f>
        <v>0.19714186218397795</v>
      </c>
      <c r="BX5" s="339">
        <v>31966</v>
      </c>
      <c r="BY5" s="318">
        <f>BX5/BM5</f>
        <v>5.5994842995126773E-4</v>
      </c>
      <c r="BZ5" s="340" t="s">
        <v>265</v>
      </c>
      <c r="CA5" s="306">
        <f>BB5/M5</f>
        <v>0.19600000000000001</v>
      </c>
      <c r="CB5" s="339">
        <f>+BU5+BX5</f>
        <v>13527896.109999999</v>
      </c>
      <c r="CC5" s="306">
        <f>CB5/O5</f>
        <v>0.11848407976190893</v>
      </c>
      <c r="CD5" s="306">
        <f>CB5/N5</f>
        <v>0.19760880567843955</v>
      </c>
      <c r="CE5" s="341">
        <v>57741.22</v>
      </c>
      <c r="CF5" s="318">
        <f t="shared" ref="CF5:CF10" si="3">CE5/BM5</f>
        <v>1.0114529651026321E-3</v>
      </c>
      <c r="CG5" s="340" t="s">
        <v>289</v>
      </c>
      <c r="CH5" s="319">
        <f>BB5/M5</f>
        <v>0.19600000000000001</v>
      </c>
      <c r="CI5" s="320">
        <f>+CE5+CB5</f>
        <v>13585637.33</v>
      </c>
      <c r="CJ5" s="306">
        <f>CI5/O5</f>
        <v>0.11898980624446025</v>
      </c>
      <c r="CK5" s="306">
        <f>CI5/N5</f>
        <v>0.19845226081956691</v>
      </c>
      <c r="CL5" s="320">
        <v>2982242.13</v>
      </c>
      <c r="CM5" s="293">
        <f>CL5/BM5</f>
        <v>5.2239936133017091E-2</v>
      </c>
      <c r="CN5" s="340" t="s">
        <v>311</v>
      </c>
      <c r="CO5" s="275">
        <f>BB5/M5</f>
        <v>0.19600000000000001</v>
      </c>
      <c r="CP5" s="289">
        <f>(23568379)+(CL5)</f>
        <v>26550621.129999999</v>
      </c>
      <c r="CQ5" s="275">
        <f>CP5/O5</f>
        <v>0.23254361846922436</v>
      </c>
      <c r="CR5" s="275">
        <f>CP5/N5</f>
        <v>0.38783832229770437</v>
      </c>
      <c r="CS5" s="320">
        <v>424609.13</v>
      </c>
      <c r="CT5" s="318">
        <f>CS5/BM5</f>
        <v>7.4378782358278713E-3</v>
      </c>
      <c r="CU5" s="340" t="s">
        <v>327</v>
      </c>
      <c r="CV5" s="306">
        <f>BB5/M5</f>
        <v>0.19600000000000001</v>
      </c>
      <c r="CW5" s="439">
        <f>CS5+CP5</f>
        <v>26975230.259999998</v>
      </c>
      <c r="CX5" s="306">
        <f>CW5/O5</f>
        <v>0.23626255758713829</v>
      </c>
      <c r="CY5" s="306">
        <f>CW5/N5</f>
        <v>0.3940408021495001</v>
      </c>
      <c r="CZ5" s="439">
        <v>0</v>
      </c>
      <c r="DA5" s="331">
        <f>CZ5/BM5</f>
        <v>0</v>
      </c>
      <c r="DB5" s="340" t="s">
        <v>337</v>
      </c>
      <c r="DC5" s="306">
        <f>(16.66-1.9)/(61.9-1.9)</f>
        <v>0.246</v>
      </c>
      <c r="DD5" s="439">
        <f>+CZ5+CW5</f>
        <v>26975230.259999998</v>
      </c>
      <c r="DE5" s="306">
        <f>DD5/O5</f>
        <v>0.23626255758713829</v>
      </c>
      <c r="DF5" s="306">
        <f>DD5/N5</f>
        <v>0.3940408021495001</v>
      </c>
    </row>
    <row r="6" spans="1:110" ht="409.5" customHeight="1" x14ac:dyDescent="0.2">
      <c r="A6" s="295">
        <v>2</v>
      </c>
      <c r="B6" s="21" t="s">
        <v>35</v>
      </c>
      <c r="C6" s="10" t="s">
        <v>227</v>
      </c>
      <c r="D6" s="4" t="s">
        <v>4</v>
      </c>
      <c r="E6" s="33" t="s">
        <v>83</v>
      </c>
      <c r="F6" s="33" t="s">
        <v>242</v>
      </c>
      <c r="G6" s="8">
        <v>8.5000000000000006E-2</v>
      </c>
      <c r="H6" s="8">
        <v>0.20100000000000001</v>
      </c>
      <c r="I6" s="8">
        <v>0.35099999999999998</v>
      </c>
      <c r="J6" s="5">
        <v>0.6</v>
      </c>
      <c r="K6" s="142" t="s">
        <v>315</v>
      </c>
      <c r="L6" s="70" t="s">
        <v>64</v>
      </c>
      <c r="M6" s="30">
        <v>0.6</v>
      </c>
      <c r="N6" s="241">
        <v>68457962</v>
      </c>
      <c r="O6" s="282">
        <v>114174800</v>
      </c>
      <c r="P6" s="8">
        <f t="shared" ref="P6:P11" si="4">+G6</f>
        <v>8.5000000000000006E-2</v>
      </c>
      <c r="Q6" s="8">
        <v>2.3E-2</v>
      </c>
      <c r="R6" s="240">
        <v>5818927</v>
      </c>
      <c r="S6" s="240">
        <v>2564383.61</v>
      </c>
      <c r="T6" s="164">
        <f t="shared" si="0"/>
        <v>0.27058823529411763</v>
      </c>
      <c r="U6" s="162" t="s">
        <v>232</v>
      </c>
      <c r="V6" s="245">
        <f>Q6/M6</f>
        <v>3.8333333333333337E-2</v>
      </c>
      <c r="W6" s="153">
        <v>0.20100000000000001</v>
      </c>
      <c r="X6" s="239">
        <v>6.2E-2</v>
      </c>
      <c r="Y6" s="148">
        <v>3256070</v>
      </c>
      <c r="Z6" s="148">
        <v>13763388</v>
      </c>
      <c r="AA6" s="146">
        <v>0</v>
      </c>
      <c r="AB6" s="165">
        <f t="shared" ref="AB6:AB12" si="5">AA6/Z6</f>
        <v>0</v>
      </c>
      <c r="AC6" s="17" t="s">
        <v>38</v>
      </c>
      <c r="AD6" s="146">
        <v>0</v>
      </c>
      <c r="AE6" s="165">
        <f>AD6/Z6</f>
        <v>0</v>
      </c>
      <c r="AF6" s="17" t="s">
        <v>59</v>
      </c>
      <c r="AG6" s="148">
        <v>0</v>
      </c>
      <c r="AH6" s="170">
        <f t="shared" ref="AH6:AH12" si="6">AG6/Z6</f>
        <v>0</v>
      </c>
      <c r="AI6" s="68" t="s">
        <v>82</v>
      </c>
      <c r="AJ6" s="147">
        <v>0</v>
      </c>
      <c r="AK6" s="173">
        <f t="shared" ref="AK6:AK12" si="7">AJ6/Z6</f>
        <v>0</v>
      </c>
      <c r="AL6" s="78" t="s">
        <v>95</v>
      </c>
      <c r="AM6" s="147">
        <v>0</v>
      </c>
      <c r="AN6" s="173">
        <f>AM6/Z6</f>
        <v>0</v>
      </c>
      <c r="AO6" s="78" t="s">
        <v>106</v>
      </c>
      <c r="AP6" s="158">
        <v>0</v>
      </c>
      <c r="AQ6" s="169">
        <f>AP6/Z6</f>
        <v>0</v>
      </c>
      <c r="AR6" s="78" t="s">
        <v>119</v>
      </c>
      <c r="AS6" s="158">
        <v>0</v>
      </c>
      <c r="AT6" s="169">
        <v>0</v>
      </c>
      <c r="AU6" s="78" t="s">
        <v>130</v>
      </c>
      <c r="AV6" s="158">
        <v>0</v>
      </c>
      <c r="AW6" s="169">
        <v>0</v>
      </c>
      <c r="AX6" s="143" t="s">
        <v>144</v>
      </c>
      <c r="AY6" s="158">
        <v>0</v>
      </c>
      <c r="AZ6" s="83">
        <v>0</v>
      </c>
      <c r="BA6" s="143" t="s">
        <v>152</v>
      </c>
      <c r="BB6" s="244">
        <v>0.154</v>
      </c>
      <c r="BC6" s="247">
        <v>17560383</v>
      </c>
      <c r="BD6" s="148">
        <f>114000000*20.1/100</f>
        <v>22914000</v>
      </c>
      <c r="BE6" s="342">
        <v>17560382.690000001</v>
      </c>
      <c r="BF6" s="272">
        <f t="shared" si="1"/>
        <v>0.76616915422885568</v>
      </c>
      <c r="BG6" s="244">
        <f>W6-BB6</f>
        <v>4.7000000000000014E-2</v>
      </c>
      <c r="BH6" s="164">
        <f>M6-BB6</f>
        <v>0.44599999999999995</v>
      </c>
      <c r="BI6" s="259" t="s">
        <v>279</v>
      </c>
      <c r="BJ6" s="260">
        <f t="shared" si="2"/>
        <v>0.25666666666666665</v>
      </c>
      <c r="BK6" s="268">
        <v>0.35099999999999998</v>
      </c>
      <c r="BL6" s="269"/>
      <c r="BM6" s="247">
        <f>O6*BK6</f>
        <v>40075354.799999997</v>
      </c>
      <c r="BN6" s="247"/>
      <c r="BO6" s="239"/>
      <c r="BP6" s="239"/>
      <c r="BQ6" s="239">
        <v>0</v>
      </c>
      <c r="BR6" s="293">
        <v>0</v>
      </c>
      <c r="BS6" s="78" t="s">
        <v>258</v>
      </c>
      <c r="BT6" s="275">
        <f>BB6/M6</f>
        <v>0.25666666666666665</v>
      </c>
      <c r="BU6" s="247">
        <v>17560383</v>
      </c>
      <c r="BV6" s="271">
        <f>BU6/O6</f>
        <v>0.15380261668949716</v>
      </c>
      <c r="BW6" s="275">
        <f>BU6/N6</f>
        <v>0.25651337677858421</v>
      </c>
      <c r="BX6" s="343">
        <v>0</v>
      </c>
      <c r="BY6" s="293">
        <f>BX6/BM6</f>
        <v>0</v>
      </c>
      <c r="BZ6" s="281" t="s">
        <v>280</v>
      </c>
      <c r="CA6" s="271">
        <f>BB6/M7</f>
        <v>0.25666666666666665</v>
      </c>
      <c r="CB6" s="247">
        <v>17560383</v>
      </c>
      <c r="CC6" s="271">
        <f>BU6/O6</f>
        <v>0.15380261668949716</v>
      </c>
      <c r="CD6" s="275">
        <f>CB6/N6</f>
        <v>0.25651337677858421</v>
      </c>
      <c r="CE6" s="247">
        <v>0</v>
      </c>
      <c r="CF6" s="293">
        <f t="shared" si="3"/>
        <v>0</v>
      </c>
      <c r="CG6" s="281" t="s">
        <v>291</v>
      </c>
      <c r="CH6" s="275">
        <f>BB6/M6</f>
        <v>0.25666666666666665</v>
      </c>
      <c r="CI6" s="344">
        <v>17560383</v>
      </c>
      <c r="CJ6" s="271">
        <f>CI6/O6</f>
        <v>0.15380261668949716</v>
      </c>
      <c r="CK6" s="275">
        <f>CB6/N6</f>
        <v>0.25651337677858421</v>
      </c>
      <c r="CL6" s="344">
        <v>0</v>
      </c>
      <c r="CM6" s="293">
        <f t="shared" ref="CM6:CM12" si="8">CL6/BM6</f>
        <v>0</v>
      </c>
      <c r="CN6" s="281" t="s">
        <v>316</v>
      </c>
      <c r="CO6" s="275">
        <f>BB6/M6</f>
        <v>0.25666666666666665</v>
      </c>
      <c r="CP6" s="344">
        <v>17560383</v>
      </c>
      <c r="CQ6" s="275">
        <f>CI6/O6</f>
        <v>0.15380261668949716</v>
      </c>
      <c r="CR6" s="275">
        <f>CB6/N6</f>
        <v>0.25651337677858421</v>
      </c>
      <c r="CS6" s="344">
        <v>0</v>
      </c>
      <c r="CT6" s="293">
        <f>CS6/BM6</f>
        <v>0</v>
      </c>
      <c r="CU6" s="10" t="s">
        <v>328</v>
      </c>
      <c r="CV6" s="275">
        <f>CB6/N6</f>
        <v>0.25651337677858421</v>
      </c>
      <c r="CW6" s="344">
        <v>17560383</v>
      </c>
      <c r="CX6" s="275">
        <f>CI6/O6</f>
        <v>0.15380261668949716</v>
      </c>
      <c r="CY6" s="275">
        <f>CB6/N6</f>
        <v>0.25651337677858421</v>
      </c>
      <c r="CZ6" s="361">
        <v>0</v>
      </c>
      <c r="DA6" s="331">
        <f>CZ6/BM6</f>
        <v>0</v>
      </c>
      <c r="DB6" s="340" t="s">
        <v>338</v>
      </c>
      <c r="DC6" s="306">
        <f>CB6/N6</f>
        <v>0.25651337677858421</v>
      </c>
      <c r="DD6" s="344">
        <v>17560383</v>
      </c>
      <c r="DE6" s="306">
        <f>CI6/O6</f>
        <v>0.15380261668949716</v>
      </c>
      <c r="DF6" s="306">
        <f>CB6/N6</f>
        <v>0.25651337677858421</v>
      </c>
    </row>
    <row r="7" spans="1:110" ht="231" customHeight="1" x14ac:dyDescent="0.2">
      <c r="A7" s="295">
        <v>3</v>
      </c>
      <c r="B7" s="21" t="s">
        <v>35</v>
      </c>
      <c r="C7" s="10" t="s">
        <v>273</v>
      </c>
      <c r="D7" s="16" t="s">
        <v>4</v>
      </c>
      <c r="E7" s="33" t="s">
        <v>84</v>
      </c>
      <c r="F7" s="33" t="s">
        <v>242</v>
      </c>
      <c r="G7" s="5">
        <v>0.23</v>
      </c>
      <c r="H7" s="5">
        <v>0.37</v>
      </c>
      <c r="I7" s="5">
        <v>0.49</v>
      </c>
      <c r="J7" s="5">
        <v>0.6</v>
      </c>
      <c r="K7" s="47" t="s">
        <v>314</v>
      </c>
      <c r="L7" s="33" t="s">
        <v>65</v>
      </c>
      <c r="M7" s="7">
        <v>0.6</v>
      </c>
      <c r="N7" s="282">
        <v>68457962</v>
      </c>
      <c r="O7" s="282">
        <v>114174800</v>
      </c>
      <c r="P7" s="8">
        <f t="shared" si="4"/>
        <v>0.23</v>
      </c>
      <c r="Q7" s="8">
        <v>0.23</v>
      </c>
      <c r="R7" s="240">
        <v>26242218.77</v>
      </c>
      <c r="S7" s="240">
        <v>11980143.35</v>
      </c>
      <c r="T7" s="165">
        <f t="shared" si="0"/>
        <v>1</v>
      </c>
      <c r="U7" s="17" t="s">
        <v>31</v>
      </c>
      <c r="V7" s="245">
        <f>Q7/M7</f>
        <v>0.38333333333333336</v>
      </c>
      <c r="W7" s="153">
        <v>0.37</v>
      </c>
      <c r="X7" s="153"/>
      <c r="Y7" s="153"/>
      <c r="Z7" s="154">
        <v>15973524.470000001</v>
      </c>
      <c r="AA7" s="154">
        <v>12368</v>
      </c>
      <c r="AB7" s="167">
        <f>AA7/Z7</f>
        <v>7.7428121910279952E-4</v>
      </c>
      <c r="AC7" s="17" t="s">
        <v>39</v>
      </c>
      <c r="AD7" s="148">
        <v>75374</v>
      </c>
      <c r="AE7" s="167">
        <f>AD7/Z7</f>
        <v>4.7186831022521351E-3</v>
      </c>
      <c r="AF7" s="17" t="s">
        <v>57</v>
      </c>
      <c r="AG7" s="147">
        <v>43006</v>
      </c>
      <c r="AH7" s="171">
        <f t="shared" si="6"/>
        <v>2.6923300540697766E-3</v>
      </c>
      <c r="AI7" s="39" t="s">
        <v>78</v>
      </c>
      <c r="AJ7" s="147">
        <v>168576</v>
      </c>
      <c r="AK7" s="173">
        <f t="shared" si="7"/>
        <v>1.0553463032945789E-2</v>
      </c>
      <c r="AL7" s="39" t="s">
        <v>96</v>
      </c>
      <c r="AM7" s="174">
        <v>7114924.2199999997</v>
      </c>
      <c r="AN7" s="173">
        <f>AM7/Z7</f>
        <v>0.44541980909489287</v>
      </c>
      <c r="AO7" s="78" t="s">
        <v>108</v>
      </c>
      <c r="AP7" s="158">
        <v>7362927</v>
      </c>
      <c r="AQ7" s="169">
        <f>AP7/Z7</f>
        <v>0.46094567381346363</v>
      </c>
      <c r="AR7" s="78" t="s">
        <v>118</v>
      </c>
      <c r="AS7" s="345">
        <v>7362927.5</v>
      </c>
      <c r="AT7" s="169">
        <f>+AS7/Z7</f>
        <v>0.46094570511525934</v>
      </c>
      <c r="AU7" s="78" t="s">
        <v>129</v>
      </c>
      <c r="AV7" s="345">
        <v>7906008.1799999997</v>
      </c>
      <c r="AW7" s="169">
        <f>+AV7/Z7</f>
        <v>0.49494450613252788</v>
      </c>
      <c r="AX7" s="94" t="s">
        <v>143</v>
      </c>
      <c r="AY7" s="346">
        <v>8784660.1699999999</v>
      </c>
      <c r="AZ7" s="83">
        <f>+AY7/Z7</f>
        <v>0.54995127634471264</v>
      </c>
      <c r="BA7" s="94" t="s">
        <v>155</v>
      </c>
      <c r="BB7" s="153">
        <v>0.14230000000000001</v>
      </c>
      <c r="BC7" s="94"/>
      <c r="BD7" s="261">
        <v>42215743.240000002</v>
      </c>
      <c r="BE7" s="261">
        <v>16231703.439999999</v>
      </c>
      <c r="BF7" s="165">
        <f t="shared" si="1"/>
        <v>0.38459459459459461</v>
      </c>
      <c r="BG7" s="94"/>
      <c r="BH7" s="94"/>
      <c r="BI7" s="78" t="s">
        <v>249</v>
      </c>
      <c r="BJ7" s="347">
        <f t="shared" si="2"/>
        <v>0.23716666666666669</v>
      </c>
      <c r="BK7" s="348">
        <v>0.49</v>
      </c>
      <c r="BL7" s="269"/>
      <c r="BM7" s="343">
        <f>O7*49/100</f>
        <v>55945652</v>
      </c>
      <c r="BN7" s="343"/>
      <c r="BO7" s="239"/>
      <c r="BP7" s="143"/>
      <c r="BQ7" s="343">
        <v>128375.7452</v>
      </c>
      <c r="BR7" s="293">
        <f>BQ7/BM7</f>
        <v>2.2946509802048605E-3</v>
      </c>
      <c r="BS7" s="281" t="s">
        <v>252</v>
      </c>
      <c r="BT7" s="308">
        <f>BB7/M7</f>
        <v>0.23716666666666669</v>
      </c>
      <c r="BU7" s="343">
        <v>16360079.189999999</v>
      </c>
      <c r="BV7" s="275">
        <f>BU7/O7</f>
        <v>0.14328975562032953</v>
      </c>
      <c r="BW7" s="275">
        <f>+BU7/N7</f>
        <v>0.23897993326181693</v>
      </c>
      <c r="BX7" s="343">
        <v>48037</v>
      </c>
      <c r="BY7" s="293">
        <f>BX7/BM7</f>
        <v>8.5863687851917426E-4</v>
      </c>
      <c r="BZ7" s="281" t="s">
        <v>262</v>
      </c>
      <c r="CA7" s="275">
        <f>BB7/M7</f>
        <v>0.23716666666666669</v>
      </c>
      <c r="CB7" s="344">
        <f>BU7+BX7</f>
        <v>16408116.189999999</v>
      </c>
      <c r="CC7" s="275">
        <f>CB7/O7</f>
        <v>0.14371048769080391</v>
      </c>
      <c r="CD7" s="275">
        <f>CB7/N7</f>
        <v>0.23968163396392081</v>
      </c>
      <c r="CE7" s="344">
        <v>287686.40000000002</v>
      </c>
      <c r="CF7" s="293">
        <f t="shared" si="3"/>
        <v>5.1422476942444076E-3</v>
      </c>
      <c r="CG7" s="340" t="s">
        <v>290</v>
      </c>
      <c r="CH7" s="306">
        <f>BB7/M7</f>
        <v>0.23716666666666669</v>
      </c>
      <c r="CI7" s="307">
        <f>+CE7+CB7</f>
        <v>16695802.59</v>
      </c>
      <c r="CJ7" s="306">
        <f>CI7/O7</f>
        <v>0.14623018906098367</v>
      </c>
      <c r="CK7" s="306">
        <f>CI7/N7</f>
        <v>0.24388401439703974</v>
      </c>
      <c r="CL7" s="289">
        <v>6980030</v>
      </c>
      <c r="CM7" s="293">
        <f t="shared" si="8"/>
        <v>0.12476447678185965</v>
      </c>
      <c r="CN7" s="281" t="s">
        <v>317</v>
      </c>
      <c r="CO7" s="308">
        <f>BB7/M7</f>
        <v>0.23716666666666669</v>
      </c>
      <c r="CP7" s="289">
        <v>26485263.82</v>
      </c>
      <c r="CQ7" s="275">
        <f>CP7/O7</f>
        <v>0.23197118646146084</v>
      </c>
      <c r="CR7" s="275">
        <f>CP7/N7</f>
        <v>0.38688361508629193</v>
      </c>
      <c r="CS7" s="289">
        <v>2864103</v>
      </c>
      <c r="CT7" s="293">
        <f>CS7/BM7</f>
        <v>5.1194380574919388E-2</v>
      </c>
      <c r="CU7" s="10" t="s">
        <v>329</v>
      </c>
      <c r="CV7" s="275">
        <f>BB7/M7</f>
        <v>0.23716666666666669</v>
      </c>
      <c r="CW7" s="289">
        <f>CS7+CP7</f>
        <v>29349366.82</v>
      </c>
      <c r="CX7" s="271">
        <f>CP7/O7</f>
        <v>0.23197118646146084</v>
      </c>
      <c r="CY7" s="275">
        <f>CW7/N7</f>
        <v>0.42872101305031546</v>
      </c>
      <c r="CZ7" s="442">
        <v>621808.9</v>
      </c>
      <c r="DA7" s="293">
        <f>CZ7/BM7</f>
        <v>1.1114516995887367E-2</v>
      </c>
      <c r="DB7" s="10" t="s">
        <v>339</v>
      </c>
      <c r="DC7" s="275">
        <f>(49.73-12.5)/(72.5-12.5)</f>
        <v>0.62049999999999994</v>
      </c>
      <c r="DD7" s="289">
        <f>+CZ7+CW7</f>
        <v>29971175.719999999</v>
      </c>
      <c r="DE7" s="275">
        <f>DD7/O7</f>
        <v>0.26250254627115616</v>
      </c>
      <c r="DF7" s="275">
        <f>DD7/N7</f>
        <v>0.43780408946442195</v>
      </c>
    </row>
    <row r="8" spans="1:110" ht="243" customHeight="1" x14ac:dyDescent="0.2">
      <c r="A8" s="295">
        <v>4</v>
      </c>
      <c r="B8" s="9" t="s">
        <v>34</v>
      </c>
      <c r="C8" s="10" t="s">
        <v>271</v>
      </c>
      <c r="D8" s="4" t="s">
        <v>4</v>
      </c>
      <c r="E8" s="33" t="s">
        <v>276</v>
      </c>
      <c r="F8" s="33" t="s">
        <v>242</v>
      </c>
      <c r="G8" s="236">
        <v>3.0999999999999999E-3</v>
      </c>
      <c r="H8" s="8">
        <v>0.19900000000000001</v>
      </c>
      <c r="I8" s="8">
        <v>0.20300000000000001</v>
      </c>
      <c r="J8" s="8">
        <v>0.59399999999999997</v>
      </c>
      <c r="K8" s="142" t="s">
        <v>315</v>
      </c>
      <c r="L8" s="33" t="s">
        <v>64</v>
      </c>
      <c r="M8" s="7">
        <v>1</v>
      </c>
      <c r="N8" s="241">
        <v>39084775.049999997</v>
      </c>
      <c r="O8" s="241">
        <v>39084775.049999997</v>
      </c>
      <c r="P8" s="8">
        <f t="shared" si="4"/>
        <v>3.0999999999999999E-3</v>
      </c>
      <c r="Q8" s="14">
        <v>3.0999999999999999E-3</v>
      </c>
      <c r="R8" s="240">
        <v>121595.52</v>
      </c>
      <c r="S8" s="240">
        <v>121595.52</v>
      </c>
      <c r="T8" s="165">
        <f t="shared" si="0"/>
        <v>1</v>
      </c>
      <c r="U8" s="18" t="s">
        <v>233</v>
      </c>
      <c r="V8" s="248">
        <f>Q8/M8</f>
        <v>3.0999999999999999E-3</v>
      </c>
      <c r="W8" s="252">
        <v>0.19969999999999999</v>
      </c>
      <c r="X8" s="239"/>
      <c r="Y8" s="239"/>
      <c r="Z8" s="237">
        <v>999718</v>
      </c>
      <c r="AA8" s="148">
        <v>0</v>
      </c>
      <c r="AB8" s="165">
        <f t="shared" si="5"/>
        <v>0</v>
      </c>
      <c r="AC8" s="17" t="s">
        <v>40</v>
      </c>
      <c r="AD8" s="148">
        <v>0</v>
      </c>
      <c r="AE8" s="165">
        <f>AD8/Z8</f>
        <v>0</v>
      </c>
      <c r="AF8" s="17" t="s">
        <v>60</v>
      </c>
      <c r="AG8" s="148">
        <v>0</v>
      </c>
      <c r="AH8" s="170">
        <f t="shared" si="6"/>
        <v>0</v>
      </c>
      <c r="AI8" s="39" t="s">
        <v>81</v>
      </c>
      <c r="AJ8" s="147">
        <v>0</v>
      </c>
      <c r="AK8" s="173">
        <f>AJ8/Z8</f>
        <v>0</v>
      </c>
      <c r="AL8" s="39" t="s">
        <v>81</v>
      </c>
      <c r="AM8" s="147">
        <v>0</v>
      </c>
      <c r="AN8" s="173">
        <f>+AM8/Z8</f>
        <v>0</v>
      </c>
      <c r="AO8" s="17" t="s">
        <v>81</v>
      </c>
      <c r="AP8" s="147">
        <v>0</v>
      </c>
      <c r="AQ8" s="169">
        <f>AP8/Z8</f>
        <v>0</v>
      </c>
      <c r="AR8" s="17" t="s">
        <v>81</v>
      </c>
      <c r="AS8" s="147">
        <v>0</v>
      </c>
      <c r="AT8" s="169">
        <v>0</v>
      </c>
      <c r="AU8" s="349" t="s">
        <v>131</v>
      </c>
      <c r="AV8" s="158">
        <v>0</v>
      </c>
      <c r="AW8" s="169">
        <f>+AV8/Z8</f>
        <v>0</v>
      </c>
      <c r="AX8" s="89" t="s">
        <v>140</v>
      </c>
      <c r="AY8" s="158">
        <v>0</v>
      </c>
      <c r="AZ8" s="83">
        <f>+AY8/Z8</f>
        <v>0</v>
      </c>
      <c r="BA8" s="94" t="s">
        <v>140</v>
      </c>
      <c r="BB8" s="252">
        <v>0.10440000000000001</v>
      </c>
      <c r="BC8" s="94"/>
      <c r="BD8" s="350">
        <f>39084775*19.9/100</f>
        <v>7777870.2249999996</v>
      </c>
      <c r="BE8" s="344">
        <v>4083550.05</v>
      </c>
      <c r="BF8" s="273">
        <f t="shared" si="1"/>
        <v>0.52278417626439666</v>
      </c>
      <c r="BG8" s="14">
        <f>20.3-10.3</f>
        <v>10</v>
      </c>
      <c r="BH8" s="14"/>
      <c r="BI8" s="162" t="s">
        <v>278</v>
      </c>
      <c r="BJ8" s="253">
        <f t="shared" si="2"/>
        <v>0.10440000000000001</v>
      </c>
      <c r="BK8" s="268">
        <v>0.20300000000000001</v>
      </c>
      <c r="BL8" s="269"/>
      <c r="BM8" s="241">
        <v>15829333</v>
      </c>
      <c r="BN8" s="249"/>
      <c r="BO8" s="75"/>
      <c r="BP8" s="75"/>
      <c r="BQ8" s="153" t="s">
        <v>200</v>
      </c>
      <c r="BR8" s="293">
        <v>0</v>
      </c>
      <c r="BS8" s="78" t="s">
        <v>258</v>
      </c>
      <c r="BT8" s="271">
        <f>BB8/M8</f>
        <v>0.10440000000000001</v>
      </c>
      <c r="BU8" s="247">
        <f>4038252.91+121595.52</f>
        <v>4159848.43</v>
      </c>
      <c r="BV8" s="275">
        <f>BU8/N8</f>
        <v>0.10643142821414295</v>
      </c>
      <c r="BW8" s="271">
        <f>+BU8/N8</f>
        <v>0.10643142821414295</v>
      </c>
      <c r="BX8" s="343">
        <v>0</v>
      </c>
      <c r="BY8" s="293">
        <v>0</v>
      </c>
      <c r="BZ8" s="281" t="s">
        <v>281</v>
      </c>
      <c r="CA8" s="275">
        <f>10.44%+0.31%</f>
        <v>0.1075</v>
      </c>
      <c r="CB8" s="247">
        <f>4038252.91+121595.52</f>
        <v>4159848.43</v>
      </c>
      <c r="CC8" s="275">
        <f>10.44%+0.31%</f>
        <v>0.1075</v>
      </c>
      <c r="CD8" s="275">
        <f>10.44%+0.31%</f>
        <v>0.1075</v>
      </c>
      <c r="CE8" s="344">
        <v>0</v>
      </c>
      <c r="CF8" s="293">
        <v>0</v>
      </c>
      <c r="CG8" s="281" t="s">
        <v>292</v>
      </c>
      <c r="CH8" s="275">
        <f>10.44%+0.31%</f>
        <v>0.1075</v>
      </c>
      <c r="CI8" s="247">
        <f>4038252.91+121595.52</f>
        <v>4159848.43</v>
      </c>
      <c r="CJ8" s="275">
        <f>10.44%+0.31%</f>
        <v>0.1075</v>
      </c>
      <c r="CK8" s="275">
        <f>10.44%+0.31%</f>
        <v>0.1075</v>
      </c>
      <c r="CL8" s="344">
        <v>0</v>
      </c>
      <c r="CM8" s="293">
        <f t="shared" si="8"/>
        <v>0</v>
      </c>
      <c r="CN8" s="281" t="s">
        <v>318</v>
      </c>
      <c r="CO8" s="275">
        <f>10.44%+0.31%</f>
        <v>0.1075</v>
      </c>
      <c r="CP8" s="344">
        <f>4038252.91+121595.52</f>
        <v>4159848.43</v>
      </c>
      <c r="CQ8" s="275">
        <f>10.44%+0.31%</f>
        <v>0.1075</v>
      </c>
      <c r="CR8" s="275">
        <f>10.44%+0.31%</f>
        <v>0.1075</v>
      </c>
      <c r="CS8" s="344">
        <v>0</v>
      </c>
      <c r="CT8" s="293">
        <f>CS8/BM8</f>
        <v>0</v>
      </c>
      <c r="CU8" s="281" t="s">
        <v>330</v>
      </c>
      <c r="CV8" s="275">
        <f>10.44%+0.31%</f>
        <v>0.1075</v>
      </c>
      <c r="CW8" s="344">
        <f>4038252.91+121595.52</f>
        <v>4159848.43</v>
      </c>
      <c r="CX8" s="275">
        <f>10.44%+0.31%</f>
        <v>0.1075</v>
      </c>
      <c r="CY8" s="275">
        <f>10.44%+0.31%</f>
        <v>0.1075</v>
      </c>
      <c r="CZ8" s="439">
        <v>0</v>
      </c>
      <c r="DA8" s="331">
        <f>CZ8/BM8</f>
        <v>0</v>
      </c>
      <c r="DB8" s="281" t="s">
        <v>340</v>
      </c>
      <c r="DC8" s="275">
        <f>10.44%+0.31%</f>
        <v>0.1075</v>
      </c>
      <c r="DD8" s="344">
        <f>4038252.91+121595.52</f>
        <v>4159848.43</v>
      </c>
      <c r="DE8" s="275">
        <f>10.44%+0.31%</f>
        <v>0.1075</v>
      </c>
      <c r="DF8" s="361"/>
    </row>
    <row r="9" spans="1:110" ht="381.75" customHeight="1" x14ac:dyDescent="0.2">
      <c r="A9" s="295">
        <v>5</v>
      </c>
      <c r="B9" s="21" t="s">
        <v>35</v>
      </c>
      <c r="C9" s="10" t="s">
        <v>15</v>
      </c>
      <c r="D9" s="16" t="s">
        <v>4</v>
      </c>
      <c r="E9" s="33" t="s">
        <v>84</v>
      </c>
      <c r="F9" s="33" t="s">
        <v>254</v>
      </c>
      <c r="G9" s="5">
        <v>0.05</v>
      </c>
      <c r="H9" s="5">
        <v>0.3</v>
      </c>
      <c r="I9" s="5">
        <v>0.6</v>
      </c>
      <c r="J9" s="5">
        <v>1</v>
      </c>
      <c r="K9" s="333" t="s">
        <v>322</v>
      </c>
      <c r="L9" s="33" t="s">
        <v>66</v>
      </c>
      <c r="M9" s="34">
        <v>1</v>
      </c>
      <c r="N9" s="34" t="s">
        <v>70</v>
      </c>
      <c r="O9" s="34" t="s">
        <v>200</v>
      </c>
      <c r="P9" s="5">
        <f t="shared" si="4"/>
        <v>0.05</v>
      </c>
      <c r="Q9" s="5">
        <v>0.05</v>
      </c>
      <c r="R9" s="5">
        <v>0.05</v>
      </c>
      <c r="S9" s="5">
        <v>0.05</v>
      </c>
      <c r="T9" s="165">
        <f t="shared" si="0"/>
        <v>1</v>
      </c>
      <c r="U9" s="18" t="s">
        <v>33</v>
      </c>
      <c r="V9" s="248">
        <f>S9/M9</f>
        <v>0.05</v>
      </c>
      <c r="W9" s="149">
        <v>0.3</v>
      </c>
      <c r="X9" s="149"/>
      <c r="Y9" s="149"/>
      <c r="Z9" s="149">
        <v>0.25</v>
      </c>
      <c r="AA9" s="149">
        <v>0.04</v>
      </c>
      <c r="AB9" s="165">
        <f>AA9/Z9</f>
        <v>0.16</v>
      </c>
      <c r="AC9" s="17" t="s">
        <v>41</v>
      </c>
      <c r="AD9" s="149">
        <v>7.0000000000000007E-2</v>
      </c>
      <c r="AE9" s="165">
        <f>AD9/Z9</f>
        <v>0.28000000000000003</v>
      </c>
      <c r="AF9" s="17" t="s">
        <v>56</v>
      </c>
      <c r="AG9" s="149">
        <v>0.11</v>
      </c>
      <c r="AH9" s="170">
        <f t="shared" si="6"/>
        <v>0.44</v>
      </c>
      <c r="AI9" s="40" t="s">
        <v>77</v>
      </c>
      <c r="AJ9" s="149">
        <v>0.14000000000000001</v>
      </c>
      <c r="AK9" s="170">
        <f t="shared" si="7"/>
        <v>0.56000000000000005</v>
      </c>
      <c r="AL9" s="39" t="s">
        <v>97</v>
      </c>
      <c r="AM9" s="175">
        <v>0.15</v>
      </c>
      <c r="AN9" s="170">
        <f>AM9/Z9</f>
        <v>0.6</v>
      </c>
      <c r="AO9" s="17" t="s">
        <v>109</v>
      </c>
      <c r="AP9" s="151">
        <v>0.15</v>
      </c>
      <c r="AQ9" s="169">
        <f>AP9/Z9</f>
        <v>0.6</v>
      </c>
      <c r="AR9" s="17" t="s">
        <v>121</v>
      </c>
      <c r="AS9" s="151">
        <v>0.15</v>
      </c>
      <c r="AT9" s="169">
        <v>0.5</v>
      </c>
      <c r="AU9" s="351" t="s">
        <v>126</v>
      </c>
      <c r="AV9" s="276">
        <v>0.15</v>
      </c>
      <c r="AW9" s="169">
        <v>0.5</v>
      </c>
      <c r="AX9" s="89" t="s">
        <v>139</v>
      </c>
      <c r="AY9" s="352">
        <v>0.15</v>
      </c>
      <c r="AZ9" s="83">
        <v>0.5</v>
      </c>
      <c r="BA9" s="94" t="s">
        <v>151</v>
      </c>
      <c r="BB9" s="149">
        <v>0.2</v>
      </c>
      <c r="BC9" s="94"/>
      <c r="BD9" s="149">
        <v>0.3</v>
      </c>
      <c r="BE9" s="149">
        <v>0.2</v>
      </c>
      <c r="BF9" s="165">
        <f t="shared" si="1"/>
        <v>0.66666666666666674</v>
      </c>
      <c r="BG9" s="94"/>
      <c r="BH9" s="94"/>
      <c r="BI9" s="353" t="s">
        <v>231</v>
      </c>
      <c r="BJ9" s="267">
        <f t="shared" si="2"/>
        <v>0.2</v>
      </c>
      <c r="BK9" s="276" t="s">
        <v>294</v>
      </c>
      <c r="BL9" s="269"/>
      <c r="BM9" s="276">
        <v>0.6</v>
      </c>
      <c r="BN9" s="276"/>
      <c r="BO9" s="276"/>
      <c r="BP9" s="276"/>
      <c r="BQ9" s="354">
        <v>0</v>
      </c>
      <c r="BR9" s="294">
        <v>0</v>
      </c>
      <c r="BS9" s="280" t="s">
        <v>253</v>
      </c>
      <c r="BT9" s="267">
        <f>BB9/M9</f>
        <v>0.2</v>
      </c>
      <c r="BU9" s="286" t="s">
        <v>200</v>
      </c>
      <c r="BV9" s="286" t="s">
        <v>200</v>
      </c>
      <c r="BW9" s="267">
        <f>BT9/M9</f>
        <v>0.2</v>
      </c>
      <c r="BX9" s="285">
        <v>0</v>
      </c>
      <c r="BY9" s="293">
        <f>BX9/60</f>
        <v>0</v>
      </c>
      <c r="BZ9" s="281" t="s">
        <v>282</v>
      </c>
      <c r="CA9" s="267">
        <f>BW9/M9</f>
        <v>0.2</v>
      </c>
      <c r="CB9" s="286" t="s">
        <v>200</v>
      </c>
      <c r="CC9" s="286" t="s">
        <v>200</v>
      </c>
      <c r="CD9" s="288">
        <f>BT9/M9</f>
        <v>0.2</v>
      </c>
      <c r="CE9" s="290">
        <v>0</v>
      </c>
      <c r="CF9" s="293">
        <f t="shared" si="3"/>
        <v>0</v>
      </c>
      <c r="CG9" s="281" t="s">
        <v>293</v>
      </c>
      <c r="CH9" s="288">
        <f>CA9/M9</f>
        <v>0.2</v>
      </c>
      <c r="CI9" s="291" t="s">
        <v>200</v>
      </c>
      <c r="CJ9" s="291" t="s">
        <v>200</v>
      </c>
      <c r="CK9" s="288">
        <f>CA9/M9</f>
        <v>0.2</v>
      </c>
      <c r="CL9" s="309">
        <v>0.21</v>
      </c>
      <c r="CM9" s="331">
        <f t="shared" si="8"/>
        <v>0.35</v>
      </c>
      <c r="CN9" s="281" t="s">
        <v>319</v>
      </c>
      <c r="CO9" s="332">
        <f>CR9/M9</f>
        <v>0.21</v>
      </c>
      <c r="CP9" s="305" t="s">
        <v>200</v>
      </c>
      <c r="CQ9" s="305" t="s">
        <v>200</v>
      </c>
      <c r="CR9" s="288">
        <v>0.21</v>
      </c>
      <c r="CS9" s="363">
        <v>0.21</v>
      </c>
      <c r="CT9" s="293">
        <f t="shared" ref="CT9:CT12" si="9">CS9/BM9</f>
        <v>0.35</v>
      </c>
      <c r="CU9" s="33" t="s">
        <v>333</v>
      </c>
      <c r="CV9" s="288">
        <f>CS9/M9</f>
        <v>0.21</v>
      </c>
      <c r="CW9" s="16" t="s">
        <v>200</v>
      </c>
      <c r="CX9" s="16" t="s">
        <v>200</v>
      </c>
      <c r="CY9" s="288">
        <v>0.21</v>
      </c>
      <c r="CZ9" s="363">
        <v>0.21</v>
      </c>
      <c r="DA9" s="331">
        <f>CZ9/BM9</f>
        <v>0.35</v>
      </c>
      <c r="DB9" s="33" t="s">
        <v>341</v>
      </c>
      <c r="DC9" s="288">
        <f>CZ9/M9</f>
        <v>0.21</v>
      </c>
      <c r="DD9" s="295" t="s">
        <v>200</v>
      </c>
      <c r="DE9" s="295" t="s">
        <v>200</v>
      </c>
      <c r="DF9" s="361"/>
    </row>
    <row r="10" spans="1:110" ht="240" x14ac:dyDescent="0.2">
      <c r="A10" s="295">
        <v>6</v>
      </c>
      <c r="B10" s="21" t="s">
        <v>35</v>
      </c>
      <c r="C10" s="32" t="s">
        <v>9</v>
      </c>
      <c r="D10" s="20" t="s">
        <v>10</v>
      </c>
      <c r="E10" s="33" t="s">
        <v>277</v>
      </c>
      <c r="F10" s="33" t="s">
        <v>243</v>
      </c>
      <c r="G10" s="16">
        <v>6</v>
      </c>
      <c r="H10" s="16">
        <v>10</v>
      </c>
      <c r="I10" s="16">
        <v>17</v>
      </c>
      <c r="J10" s="16">
        <v>20</v>
      </c>
      <c r="K10" s="333" t="s">
        <v>323</v>
      </c>
      <c r="L10" s="33" t="s">
        <v>64</v>
      </c>
      <c r="M10" s="20">
        <v>20</v>
      </c>
      <c r="N10" s="20">
        <v>20</v>
      </c>
      <c r="O10" s="20" t="s">
        <v>200</v>
      </c>
      <c r="P10" s="13">
        <f t="shared" si="4"/>
        <v>6</v>
      </c>
      <c r="Q10" s="13">
        <v>8</v>
      </c>
      <c r="R10" s="13">
        <v>6</v>
      </c>
      <c r="S10" s="13">
        <v>8</v>
      </c>
      <c r="T10" s="165">
        <f t="shared" si="0"/>
        <v>1.3333333333333333</v>
      </c>
      <c r="U10" s="17" t="s">
        <v>29</v>
      </c>
      <c r="V10" s="251">
        <f>Q10/M10</f>
        <v>0.4</v>
      </c>
      <c r="W10" s="155">
        <v>10</v>
      </c>
      <c r="X10" s="155"/>
      <c r="Y10" s="155"/>
      <c r="Z10" s="150">
        <v>4</v>
      </c>
      <c r="AA10" s="150">
        <v>1</v>
      </c>
      <c r="AB10" s="165">
        <f>AA10/4</f>
        <v>0.25</v>
      </c>
      <c r="AC10" s="17" t="s">
        <v>42</v>
      </c>
      <c r="AD10" s="150">
        <v>2</v>
      </c>
      <c r="AE10" s="165">
        <f>AD10/4</f>
        <v>0.5</v>
      </c>
      <c r="AF10" s="17" t="s">
        <v>55</v>
      </c>
      <c r="AG10" s="150">
        <v>2</v>
      </c>
      <c r="AH10" s="170">
        <f>AG10/4</f>
        <v>0.5</v>
      </c>
      <c r="AI10" s="39" t="s">
        <v>80</v>
      </c>
      <c r="AJ10" s="155">
        <v>3</v>
      </c>
      <c r="AK10" s="170">
        <f>AJ10/4</f>
        <v>0.75</v>
      </c>
      <c r="AL10" s="43" t="s">
        <v>98</v>
      </c>
      <c r="AM10" s="176">
        <v>3</v>
      </c>
      <c r="AN10" s="170">
        <f>AM10/4</f>
        <v>0.75</v>
      </c>
      <c r="AO10" s="78" t="s">
        <v>105</v>
      </c>
      <c r="AP10" s="150">
        <v>5</v>
      </c>
      <c r="AQ10" s="169">
        <f>AP10/4</f>
        <v>1.25</v>
      </c>
      <c r="AR10" s="17" t="s">
        <v>120</v>
      </c>
      <c r="AS10" s="178">
        <v>8</v>
      </c>
      <c r="AT10" s="169">
        <f>+AS10/4</f>
        <v>2</v>
      </c>
      <c r="AU10" s="17" t="s">
        <v>132</v>
      </c>
      <c r="AV10" s="178">
        <v>8</v>
      </c>
      <c r="AW10" s="169">
        <f>+AV10/Z10</f>
        <v>2</v>
      </c>
      <c r="AX10" s="89" t="s">
        <v>141</v>
      </c>
      <c r="AY10" s="159">
        <v>9</v>
      </c>
      <c r="AZ10" s="83">
        <f>+AY10/Z10</f>
        <v>2.25</v>
      </c>
      <c r="BA10" s="94" t="s">
        <v>153</v>
      </c>
      <c r="BB10" s="155">
        <v>19</v>
      </c>
      <c r="BC10" s="94"/>
      <c r="BD10" s="155">
        <v>10</v>
      </c>
      <c r="BE10" s="155">
        <v>19</v>
      </c>
      <c r="BF10" s="274">
        <f t="shared" si="1"/>
        <v>1.9</v>
      </c>
      <c r="BG10" s="165"/>
      <c r="BH10" s="165"/>
      <c r="BI10" s="162" t="s">
        <v>259</v>
      </c>
      <c r="BJ10" s="355">
        <f t="shared" si="2"/>
        <v>0.95</v>
      </c>
      <c r="BK10" s="354">
        <v>17</v>
      </c>
      <c r="BL10" s="269"/>
      <c r="BM10" s="354">
        <v>17</v>
      </c>
      <c r="BN10" s="356"/>
      <c r="BO10" s="356"/>
      <c r="BP10" s="356"/>
      <c r="BQ10" s="354">
        <v>19</v>
      </c>
      <c r="BR10" s="293">
        <f>BQ10/BM10</f>
        <v>1.1176470588235294</v>
      </c>
      <c r="BS10" s="162" t="s">
        <v>255</v>
      </c>
      <c r="BT10" s="277">
        <f>BE10/N10</f>
        <v>0.95</v>
      </c>
      <c r="BU10" s="287" t="s">
        <v>200</v>
      </c>
      <c r="BV10" s="287" t="s">
        <v>200</v>
      </c>
      <c r="BW10" s="277">
        <f>BE10/N10</f>
        <v>0.95</v>
      </c>
      <c r="BX10" s="354">
        <v>21</v>
      </c>
      <c r="BY10" s="293">
        <f>BX10/BM10</f>
        <v>1.2352941176470589</v>
      </c>
      <c r="BZ10" s="281" t="s">
        <v>283</v>
      </c>
      <c r="CA10" s="284">
        <f>19/20</f>
        <v>0.95</v>
      </c>
      <c r="CB10" s="286" t="s">
        <v>200</v>
      </c>
      <c r="CC10" s="286" t="s">
        <v>200</v>
      </c>
      <c r="CD10" s="288">
        <f>21/20</f>
        <v>1.05</v>
      </c>
      <c r="CE10" s="356">
        <v>23</v>
      </c>
      <c r="CF10" s="293">
        <f t="shared" si="3"/>
        <v>1.3529411764705883</v>
      </c>
      <c r="CG10" s="281" t="s">
        <v>295</v>
      </c>
      <c r="CH10" s="288">
        <f>CE10/M10</f>
        <v>1.1499999999999999</v>
      </c>
      <c r="CI10" s="286" t="s">
        <v>200</v>
      </c>
      <c r="CJ10" s="286" t="s">
        <v>200</v>
      </c>
      <c r="CK10" s="288">
        <f>CE10/M10</f>
        <v>1.1499999999999999</v>
      </c>
      <c r="CL10" s="344">
        <v>27</v>
      </c>
      <c r="CM10" s="331">
        <f t="shared" si="8"/>
        <v>1.588235294117647</v>
      </c>
      <c r="CN10" s="357" t="s">
        <v>320</v>
      </c>
      <c r="CO10" s="288">
        <f>25/M10</f>
        <v>1.25</v>
      </c>
      <c r="CP10" s="305" t="s">
        <v>200</v>
      </c>
      <c r="CQ10" s="305" t="s">
        <v>200</v>
      </c>
      <c r="CR10" s="288">
        <f>CL10/M10</f>
        <v>1.35</v>
      </c>
      <c r="CS10" s="295">
        <v>28</v>
      </c>
      <c r="CT10" s="293">
        <f t="shared" si="9"/>
        <v>1.6470588235294117</v>
      </c>
      <c r="CU10" s="281" t="s">
        <v>334</v>
      </c>
      <c r="CV10" s="288">
        <f>25/M10</f>
        <v>1.25</v>
      </c>
      <c r="CW10" s="305" t="s">
        <v>200</v>
      </c>
      <c r="CX10" s="305" t="s">
        <v>200</v>
      </c>
      <c r="CY10" s="288">
        <f>CS10/M10</f>
        <v>1.4</v>
      </c>
      <c r="CZ10" s="295">
        <v>31</v>
      </c>
      <c r="DA10" s="293">
        <f>CZ10/BM10</f>
        <v>1.8235294117647058</v>
      </c>
      <c r="DB10" s="281" t="s">
        <v>342</v>
      </c>
      <c r="DC10" s="288">
        <f>CZ10/M10</f>
        <v>1.55</v>
      </c>
      <c r="DD10" s="295" t="s">
        <v>200</v>
      </c>
      <c r="DE10" s="295" t="s">
        <v>200</v>
      </c>
      <c r="DF10" s="361"/>
    </row>
    <row r="11" spans="1:110" ht="365.25" customHeight="1" x14ac:dyDescent="0.2">
      <c r="A11" s="295">
        <v>7</v>
      </c>
      <c r="B11" s="22" t="s">
        <v>35</v>
      </c>
      <c r="C11" s="76" t="s">
        <v>11</v>
      </c>
      <c r="D11" s="16" t="s">
        <v>8</v>
      </c>
      <c r="E11" s="33" t="s">
        <v>84</v>
      </c>
      <c r="F11" s="33" t="s">
        <v>243</v>
      </c>
      <c r="G11" s="77">
        <v>175</v>
      </c>
      <c r="H11" s="77">
        <v>200</v>
      </c>
      <c r="I11" s="77">
        <v>225</v>
      </c>
      <c r="J11" s="35">
        <v>250</v>
      </c>
      <c r="K11" s="333" t="s">
        <v>322</v>
      </c>
      <c r="L11" s="38" t="s">
        <v>67</v>
      </c>
      <c r="M11" s="310">
        <v>500</v>
      </c>
      <c r="N11" s="310">
        <v>500</v>
      </c>
      <c r="O11" s="37" t="s">
        <v>200</v>
      </c>
      <c r="P11" s="23">
        <f t="shared" si="4"/>
        <v>175</v>
      </c>
      <c r="Q11" s="23">
        <v>185</v>
      </c>
      <c r="R11" s="23">
        <v>175</v>
      </c>
      <c r="S11" s="23">
        <v>185</v>
      </c>
      <c r="T11" s="166">
        <f>(Q11-150)/(P11-150)</f>
        <v>1.4</v>
      </c>
      <c r="U11" s="24" t="s">
        <v>30</v>
      </c>
      <c r="V11" s="262">
        <f>Q11/N11</f>
        <v>0.37</v>
      </c>
      <c r="W11" s="156">
        <v>200</v>
      </c>
      <c r="X11" s="156"/>
      <c r="Y11" s="156"/>
      <c r="Z11" s="157">
        <v>25</v>
      </c>
      <c r="AA11" s="147">
        <v>0</v>
      </c>
      <c r="AB11" s="166">
        <f>AA11/25</f>
        <v>0</v>
      </c>
      <c r="AC11" s="24" t="s">
        <v>43</v>
      </c>
      <c r="AD11" s="147">
        <v>0</v>
      </c>
      <c r="AE11" s="166">
        <f>AD11/25</f>
        <v>0</v>
      </c>
      <c r="AF11" s="24" t="s">
        <v>54</v>
      </c>
      <c r="AG11" s="147">
        <v>0</v>
      </c>
      <c r="AH11" s="172">
        <f>AG11/25</f>
        <v>0</v>
      </c>
      <c r="AI11" s="41" t="s">
        <v>79</v>
      </c>
      <c r="AJ11" s="150">
        <v>15</v>
      </c>
      <c r="AK11" s="170">
        <f>AJ11/25</f>
        <v>0.6</v>
      </c>
      <c r="AL11" s="41" t="s">
        <v>99</v>
      </c>
      <c r="AM11" s="174">
        <v>33</v>
      </c>
      <c r="AN11" s="170">
        <f>AM11/25</f>
        <v>1.32</v>
      </c>
      <c r="AO11" s="17" t="s">
        <v>111</v>
      </c>
      <c r="AP11" s="150">
        <v>55</v>
      </c>
      <c r="AQ11" s="170">
        <f>AP11/25</f>
        <v>2.2000000000000002</v>
      </c>
      <c r="AR11" s="17" t="s">
        <v>116</v>
      </c>
      <c r="AS11" s="178">
        <v>77</v>
      </c>
      <c r="AT11" s="170">
        <f>+AS11/25</f>
        <v>3.08</v>
      </c>
      <c r="AU11" s="17" t="s">
        <v>127</v>
      </c>
      <c r="AV11" s="178">
        <v>117</v>
      </c>
      <c r="AW11" s="170">
        <f>+AV11/25</f>
        <v>4.68</v>
      </c>
      <c r="AX11" s="358" t="s">
        <v>145</v>
      </c>
      <c r="AY11" s="159">
        <v>150</v>
      </c>
      <c r="AZ11" s="84">
        <f>+AY11/25</f>
        <v>6</v>
      </c>
      <c r="BA11" s="94" t="s">
        <v>149</v>
      </c>
      <c r="BB11" s="156">
        <v>372</v>
      </c>
      <c r="BC11" s="94"/>
      <c r="BD11" s="156">
        <v>200</v>
      </c>
      <c r="BE11" s="156">
        <v>372</v>
      </c>
      <c r="BF11" s="279">
        <f>(BB11-150)/(W11-150)</f>
        <v>4.4400000000000004</v>
      </c>
      <c r="BG11" s="94"/>
      <c r="BH11" s="94"/>
      <c r="BI11" s="162" t="s">
        <v>229</v>
      </c>
      <c r="BJ11" s="251">
        <f>(BE11-150)/(250-150)</f>
        <v>2.2200000000000002</v>
      </c>
      <c r="BK11" s="263">
        <v>472</v>
      </c>
      <c r="BL11" s="178"/>
      <c r="BM11" s="263">
        <v>472</v>
      </c>
      <c r="BN11" s="246"/>
      <c r="BO11" s="246"/>
      <c r="BP11" s="162"/>
      <c r="BQ11" s="354">
        <v>372</v>
      </c>
      <c r="BR11" s="293">
        <f>BQ11/BK11</f>
        <v>0.78813559322033899</v>
      </c>
      <c r="BS11" s="162" t="s">
        <v>256</v>
      </c>
      <c r="BT11" s="355">
        <f>(BE11-150)/(250-150)</f>
        <v>2.2200000000000002</v>
      </c>
      <c r="BU11" s="359" t="s">
        <v>200</v>
      </c>
      <c r="BV11" s="359" t="s">
        <v>200</v>
      </c>
      <c r="BW11" s="355">
        <f>(BE11-150)/(250-150)</f>
        <v>2.2200000000000002</v>
      </c>
      <c r="BX11" s="354">
        <v>372</v>
      </c>
      <c r="BY11" s="293">
        <f>BX11/472</f>
        <v>0.78813559322033899</v>
      </c>
      <c r="BZ11" s="281" t="s">
        <v>284</v>
      </c>
      <c r="CA11" s="355">
        <f>(BE11-150)/(250-150)</f>
        <v>2.2200000000000002</v>
      </c>
      <c r="CB11" s="286" t="s">
        <v>200</v>
      </c>
      <c r="CC11" s="286" t="s">
        <v>200</v>
      </c>
      <c r="CD11" s="288">
        <f>(BE11-150)/(250-150)</f>
        <v>2.2200000000000002</v>
      </c>
      <c r="CE11" s="356">
        <v>372</v>
      </c>
      <c r="CF11" s="293">
        <f>CE11/BK11</f>
        <v>0.78813559322033899</v>
      </c>
      <c r="CG11" s="281" t="s">
        <v>296</v>
      </c>
      <c r="CH11" s="288">
        <f>(BE11-150)/(250-150)</f>
        <v>2.2200000000000002</v>
      </c>
      <c r="CI11" s="286" t="s">
        <v>200</v>
      </c>
      <c r="CJ11" s="286" t="s">
        <v>200</v>
      </c>
      <c r="CK11" s="288">
        <f>(BE11-150)/(250-150)</f>
        <v>2.2200000000000002</v>
      </c>
      <c r="CL11" s="305">
        <v>512</v>
      </c>
      <c r="CM11" s="331">
        <f t="shared" si="8"/>
        <v>1.0847457627118644</v>
      </c>
      <c r="CN11" s="281" t="s">
        <v>321</v>
      </c>
      <c r="CO11" s="288">
        <f>(CL11-150)/(500-150)</f>
        <v>1.0342857142857143</v>
      </c>
      <c r="CP11" s="76" t="s">
        <v>200</v>
      </c>
      <c r="CQ11" s="76" t="s">
        <v>200</v>
      </c>
      <c r="CR11" s="288">
        <f>(CL11-150)/(500-150)</f>
        <v>1.0342857142857143</v>
      </c>
      <c r="CS11" s="295">
        <v>526</v>
      </c>
      <c r="CT11" s="293">
        <f t="shared" si="9"/>
        <v>1.1144067796610169</v>
      </c>
      <c r="CU11" s="281" t="s">
        <v>331</v>
      </c>
      <c r="CV11" s="288">
        <f>(CS11-150)/(500-150)</f>
        <v>1.0742857142857143</v>
      </c>
      <c r="CW11" s="295" t="s">
        <v>200</v>
      </c>
      <c r="CX11" s="295" t="s">
        <v>200</v>
      </c>
      <c r="CY11" s="288">
        <f>(CS11-150)/(500-150)</f>
        <v>1.0742857142857143</v>
      </c>
      <c r="CZ11" s="295">
        <v>539</v>
      </c>
      <c r="DA11" s="293">
        <f>CZ11/BK11</f>
        <v>1.1419491525423728</v>
      </c>
      <c r="DB11" s="281" t="s">
        <v>343</v>
      </c>
      <c r="DC11" s="288">
        <f>(539-150)/(500-150)</f>
        <v>1.1114285714285714</v>
      </c>
      <c r="DD11" s="295" t="s">
        <v>200</v>
      </c>
      <c r="DE11" s="295" t="s">
        <v>200</v>
      </c>
      <c r="DF11" s="361"/>
    </row>
    <row r="12" spans="1:110" ht="402.75" customHeight="1" x14ac:dyDescent="0.2">
      <c r="A12" s="295">
        <v>8</v>
      </c>
      <c r="B12" s="25" t="s">
        <v>298</v>
      </c>
      <c r="C12" s="25" t="s">
        <v>46</v>
      </c>
      <c r="D12" s="26" t="s">
        <v>4</v>
      </c>
      <c r="E12" s="33" t="s">
        <v>85</v>
      </c>
      <c r="F12" s="278" t="s">
        <v>242</v>
      </c>
      <c r="G12" s="27">
        <v>0.1</v>
      </c>
      <c r="H12" s="27">
        <v>0.3</v>
      </c>
      <c r="I12" s="27">
        <v>0.3</v>
      </c>
      <c r="J12" s="27">
        <v>0.3</v>
      </c>
      <c r="K12" s="333" t="s">
        <v>324</v>
      </c>
      <c r="L12" s="33" t="s">
        <v>67</v>
      </c>
      <c r="M12" s="28">
        <v>1</v>
      </c>
      <c r="N12" s="28">
        <v>1</v>
      </c>
      <c r="O12" s="28" t="s">
        <v>200</v>
      </c>
      <c r="P12" s="28">
        <v>0.1</v>
      </c>
      <c r="Q12" s="28">
        <v>0.1</v>
      </c>
      <c r="R12" s="28">
        <v>0.1</v>
      </c>
      <c r="S12" s="28">
        <v>0.1</v>
      </c>
      <c r="T12" s="165">
        <f>Q12/P12</f>
        <v>1</v>
      </c>
      <c r="U12" s="17" t="s">
        <v>47</v>
      </c>
      <c r="V12" s="264">
        <f>S12/M12</f>
        <v>0.1</v>
      </c>
      <c r="W12" s="151">
        <v>0.3</v>
      </c>
      <c r="X12" s="151"/>
      <c r="Y12" s="151"/>
      <c r="Z12" s="151">
        <v>0.3</v>
      </c>
      <c r="AA12" s="151">
        <v>0.01</v>
      </c>
      <c r="AB12" s="166">
        <f t="shared" si="5"/>
        <v>3.3333333333333333E-2</v>
      </c>
      <c r="AC12" s="17" t="s">
        <v>48</v>
      </c>
      <c r="AD12" s="149">
        <v>0.02</v>
      </c>
      <c r="AE12" s="165">
        <f>AD12/Z12</f>
        <v>6.6666666666666666E-2</v>
      </c>
      <c r="AF12" s="17" t="s">
        <v>61</v>
      </c>
      <c r="AG12" s="149">
        <v>0.05</v>
      </c>
      <c r="AH12" s="165">
        <f t="shared" si="6"/>
        <v>0.16666666666666669</v>
      </c>
      <c r="AI12" s="17" t="s">
        <v>76</v>
      </c>
      <c r="AJ12" s="151">
        <v>0.06</v>
      </c>
      <c r="AK12" s="165">
        <f t="shared" si="7"/>
        <v>0.2</v>
      </c>
      <c r="AL12" s="17" t="s">
        <v>100</v>
      </c>
      <c r="AM12" s="177">
        <v>0.09</v>
      </c>
      <c r="AN12" s="165">
        <f>AM12/Z12</f>
        <v>0.3</v>
      </c>
      <c r="AO12" s="17" t="s">
        <v>110</v>
      </c>
      <c r="AP12" s="177">
        <v>0.16</v>
      </c>
      <c r="AQ12" s="170">
        <f>AP12/Z12</f>
        <v>0.53333333333333333</v>
      </c>
      <c r="AR12" s="17" t="s">
        <v>122</v>
      </c>
      <c r="AS12" s="177">
        <v>0.21</v>
      </c>
      <c r="AT12" s="170">
        <f>+AS12/Z12</f>
        <v>0.7</v>
      </c>
      <c r="AU12" s="17" t="s">
        <v>133</v>
      </c>
      <c r="AV12" s="180">
        <v>0.23499999999999999</v>
      </c>
      <c r="AW12" s="170">
        <f>+AV12/Z12</f>
        <v>0.78333333333333333</v>
      </c>
      <c r="AX12" s="17" t="s">
        <v>138</v>
      </c>
      <c r="AY12" s="140">
        <v>0.27</v>
      </c>
      <c r="AZ12" s="84">
        <f>+AY12/Z12</f>
        <v>0.90000000000000013</v>
      </c>
      <c r="BA12" s="162" t="s">
        <v>150</v>
      </c>
      <c r="BB12" s="151">
        <v>0.3</v>
      </c>
      <c r="BC12" s="162"/>
      <c r="BD12" s="151">
        <v>0.3</v>
      </c>
      <c r="BE12" s="151">
        <v>0.3</v>
      </c>
      <c r="BF12" s="279">
        <f>BE12/BD12</f>
        <v>1</v>
      </c>
      <c r="BG12" s="162"/>
      <c r="BH12" s="162"/>
      <c r="BI12" s="162" t="s">
        <v>230</v>
      </c>
      <c r="BJ12" s="251">
        <f>(BE12+Q12)</f>
        <v>0.4</v>
      </c>
      <c r="BK12" s="265">
        <v>0.3</v>
      </c>
      <c r="BL12" s="175"/>
      <c r="BM12" s="265">
        <v>0.3</v>
      </c>
      <c r="BN12" s="175"/>
      <c r="BO12" s="246"/>
      <c r="BP12" s="162"/>
      <c r="BQ12" s="360">
        <v>0.01</v>
      </c>
      <c r="BR12" s="293">
        <f>BQ12/BK12</f>
        <v>3.3333333333333333E-2</v>
      </c>
      <c r="BS12" s="162" t="s">
        <v>257</v>
      </c>
      <c r="BT12" s="264">
        <f>BE12+Q12</f>
        <v>0.4</v>
      </c>
      <c r="BU12" s="7" t="s">
        <v>200</v>
      </c>
      <c r="BV12" s="7" t="s">
        <v>200</v>
      </c>
      <c r="BW12" s="264">
        <f>BE12+Q12+BQ12</f>
        <v>0.41000000000000003</v>
      </c>
      <c r="BX12" s="285">
        <v>1.4999999999999999E-2</v>
      </c>
      <c r="BY12" s="293">
        <f>BX12/BM12</f>
        <v>0.05</v>
      </c>
      <c r="BZ12" s="281" t="s">
        <v>285</v>
      </c>
      <c r="CA12" s="264">
        <f>BE12+Q12</f>
        <v>0.4</v>
      </c>
      <c r="CB12" s="286" t="s">
        <v>200</v>
      </c>
      <c r="CC12" s="286" t="s">
        <v>200</v>
      </c>
      <c r="CD12" s="275">
        <f>BE12+Q12+BQ12+BX12</f>
        <v>0.42500000000000004</v>
      </c>
      <c r="CE12" s="292">
        <v>2.5000000000000001E-2</v>
      </c>
      <c r="CF12" s="293">
        <f>CE12/BK12</f>
        <v>8.3333333333333343E-2</v>
      </c>
      <c r="CG12" s="281" t="s">
        <v>297</v>
      </c>
      <c r="CH12" s="288">
        <f>CA12</f>
        <v>0.4</v>
      </c>
      <c r="CI12" s="286" t="s">
        <v>200</v>
      </c>
      <c r="CJ12" s="286" t="s">
        <v>200</v>
      </c>
      <c r="CK12" s="288">
        <f>CE12+BX12+BQ12+BJ12</f>
        <v>0.45</v>
      </c>
      <c r="CL12" s="334">
        <v>0.01</v>
      </c>
      <c r="CM12" s="331">
        <f t="shared" si="8"/>
        <v>3.3333333333333333E-2</v>
      </c>
      <c r="CN12" s="281" t="s">
        <v>309</v>
      </c>
      <c r="CO12" s="288">
        <f>CA12</f>
        <v>0.4</v>
      </c>
      <c r="CP12" s="305" t="s">
        <v>200</v>
      </c>
      <c r="CQ12" s="305" t="s">
        <v>200</v>
      </c>
      <c r="CR12" s="271">
        <v>0.58199999999999996</v>
      </c>
      <c r="CS12" s="364">
        <v>3.7999999999999999E-2</v>
      </c>
      <c r="CT12" s="293">
        <f t="shared" si="9"/>
        <v>0.12666666666666668</v>
      </c>
      <c r="CU12" s="281" t="s">
        <v>332</v>
      </c>
      <c r="CV12" s="288">
        <f>CA12</f>
        <v>0.4</v>
      </c>
      <c r="CW12" s="295" t="s">
        <v>200</v>
      </c>
      <c r="CX12" s="295" t="s">
        <v>200</v>
      </c>
      <c r="CY12" s="288">
        <v>0.62</v>
      </c>
      <c r="CZ12" s="443">
        <v>1.2E-2</v>
      </c>
      <c r="DA12" s="331">
        <f>CZ12/BK12</f>
        <v>0.04</v>
      </c>
      <c r="DB12" s="281" t="s">
        <v>344</v>
      </c>
      <c r="DC12" s="288">
        <f>CA12</f>
        <v>0.4</v>
      </c>
      <c r="DD12" s="295" t="s">
        <v>200</v>
      </c>
      <c r="DE12" s="295" t="s">
        <v>200</v>
      </c>
      <c r="DF12" s="361"/>
    </row>
    <row r="13" spans="1:110" ht="17.25" customHeight="1" x14ac:dyDescent="0.2">
      <c r="B13" s="367"/>
      <c r="C13" s="367"/>
      <c r="D13" s="367"/>
      <c r="E13" s="367"/>
      <c r="F13" s="270"/>
      <c r="G13" s="2"/>
      <c r="H13" s="2"/>
      <c r="I13" s="2"/>
      <c r="J13" s="2"/>
      <c r="K13" s="2"/>
      <c r="L13" s="2"/>
      <c r="M13" s="2"/>
      <c r="N13" s="2"/>
      <c r="O13" s="2"/>
      <c r="AM13" s="85"/>
      <c r="AQ13" s="85"/>
      <c r="AS13" s="86"/>
      <c r="BI13" s="250"/>
      <c r="BT13" s="85"/>
      <c r="BU13" s="85"/>
      <c r="BV13" s="85"/>
      <c r="BW13" s="85"/>
      <c r="BX13" s="85"/>
      <c r="BY13" s="85"/>
      <c r="BZ13" s="85"/>
      <c r="CA13" s="85"/>
      <c r="CB13" s="85"/>
      <c r="CC13" s="85"/>
      <c r="CD13" s="85"/>
      <c r="CE13" s="85"/>
      <c r="CF13" s="85"/>
      <c r="CG13" s="85"/>
      <c r="CH13" s="85"/>
      <c r="CI13" s="85"/>
      <c r="CJ13" s="85"/>
      <c r="CK13" s="85"/>
    </row>
    <row r="14" spans="1:110" ht="23.25" hidden="1" customHeight="1" x14ac:dyDescent="0.2">
      <c r="B14" s="367"/>
      <c r="C14" s="367"/>
      <c r="D14" s="19"/>
      <c r="E14" s="29"/>
      <c r="F14" s="270"/>
      <c r="G14" s="2"/>
      <c r="H14" s="2"/>
      <c r="I14" s="2"/>
      <c r="J14" s="2"/>
      <c r="K14" s="81"/>
      <c r="L14" s="2"/>
      <c r="M14" s="2"/>
      <c r="N14" s="2"/>
      <c r="O14" s="2"/>
      <c r="T14" s="3">
        <v>42180000</v>
      </c>
      <c r="V14" s="85">
        <f>U15/T14</f>
        <v>0.38481990137505928</v>
      </c>
      <c r="AQ14" s="85"/>
      <c r="AS14" s="85"/>
      <c r="AV14" s="87"/>
      <c r="BI14" s="250"/>
      <c r="BJ14" s="122"/>
      <c r="BK14" s="122"/>
      <c r="BL14" s="122"/>
      <c r="BM14" s="122"/>
      <c r="BN14" s="122"/>
    </row>
    <row r="15" spans="1:110" hidden="1" x14ac:dyDescent="0.2">
      <c r="B15" s="2"/>
      <c r="C15" s="2"/>
      <c r="D15" s="2"/>
      <c r="E15" s="2"/>
      <c r="F15" s="2"/>
      <c r="G15" s="2"/>
      <c r="H15" s="2"/>
      <c r="I15" s="2"/>
      <c r="J15" s="2"/>
      <c r="K15" s="2"/>
      <c r="L15" s="2"/>
      <c r="M15" s="2"/>
      <c r="N15" s="2"/>
      <c r="O15" s="2"/>
      <c r="T15" s="86">
        <v>25329445.940000001</v>
      </c>
      <c r="U15" s="86">
        <v>16231703.439999999</v>
      </c>
      <c r="V15" s="85">
        <f>U15/T15</f>
        <v>0.64082346998230466</v>
      </c>
      <c r="AS15" s="85"/>
    </row>
    <row r="16" spans="1:110" x14ac:dyDescent="0.2">
      <c r="C16" s="2"/>
      <c r="D16" s="2"/>
      <c r="E16" s="2"/>
      <c r="F16" s="2"/>
      <c r="G16" s="2"/>
      <c r="H16" s="92"/>
      <c r="I16" s="2"/>
      <c r="J16" s="2"/>
      <c r="K16" s="2"/>
      <c r="L16" s="2"/>
      <c r="M16" s="2"/>
      <c r="N16" s="2"/>
      <c r="O16" s="2"/>
    </row>
    <row r="17" spans="3:71" x14ac:dyDescent="0.2">
      <c r="C17" s="2"/>
      <c r="D17" s="2"/>
      <c r="E17" s="2"/>
      <c r="F17" s="2"/>
      <c r="G17" s="2"/>
      <c r="H17" s="2"/>
      <c r="I17" s="2"/>
      <c r="J17" s="2"/>
      <c r="K17" s="2"/>
      <c r="L17" s="2"/>
      <c r="M17" s="2"/>
      <c r="N17" s="2"/>
      <c r="O17" s="2"/>
    </row>
    <row r="18" spans="3:71" x14ac:dyDescent="0.2">
      <c r="C18" s="2"/>
      <c r="D18" s="2"/>
      <c r="E18" s="2"/>
      <c r="F18" s="2"/>
      <c r="G18" s="2"/>
      <c r="H18" s="2"/>
      <c r="I18" s="2"/>
      <c r="J18" s="2"/>
      <c r="K18" s="2"/>
      <c r="L18" s="2"/>
      <c r="M18" s="2"/>
      <c r="N18" s="2"/>
      <c r="O18" s="2"/>
    </row>
    <row r="19" spans="3:71" x14ac:dyDescent="0.2">
      <c r="C19" s="2"/>
      <c r="D19" s="2"/>
      <c r="E19" s="2"/>
      <c r="F19" s="2"/>
      <c r="G19" s="2"/>
      <c r="H19" s="2"/>
      <c r="I19" s="2"/>
      <c r="J19" s="2"/>
      <c r="K19" s="2"/>
      <c r="L19" s="2"/>
      <c r="M19" s="2"/>
      <c r="N19" s="2"/>
      <c r="O19" s="2"/>
      <c r="BS19" s="85"/>
    </row>
    <row r="23" spans="3:71" x14ac:dyDescent="0.2">
      <c r="BJ23" s="93"/>
      <c r="BK23" s="93"/>
      <c r="BL23" s="93"/>
      <c r="BM23" s="93"/>
      <c r="BN23" s="93"/>
    </row>
    <row r="25" spans="3:71" ht="15.75" x14ac:dyDescent="0.25">
      <c r="BO25" s="98"/>
      <c r="BP25" s="98"/>
      <c r="BQ25" s="98"/>
      <c r="BR25" s="98"/>
    </row>
  </sheetData>
  <autoFilter ref="B4:CR12" xr:uid="{AF054213-AD79-4CB9-A8A5-88FB8D7FD459}"/>
  <mergeCells count="18">
    <mergeCell ref="B1:CK1"/>
    <mergeCell ref="B13:E13"/>
    <mergeCell ref="L3:L4"/>
    <mergeCell ref="M3:M4"/>
    <mergeCell ref="N3:N4"/>
    <mergeCell ref="W3:BJ3"/>
    <mergeCell ref="P3:V3"/>
    <mergeCell ref="F3:F4"/>
    <mergeCell ref="O3:O4"/>
    <mergeCell ref="K3:K4"/>
    <mergeCell ref="D3:D4"/>
    <mergeCell ref="E3:E4"/>
    <mergeCell ref="BK3:DF3"/>
    <mergeCell ref="A3:A4"/>
    <mergeCell ref="B14:C14"/>
    <mergeCell ref="G3:J3"/>
    <mergeCell ref="C3:C4"/>
    <mergeCell ref="B3:B4"/>
  </mergeCells>
  <phoneticPr fontId="9" type="noConversion"/>
  <conditionalFormatting sqref="T5:T12 AB11:AB12">
    <cfRule type="cellIs" dxfId="377" priority="409" operator="lessThan">
      <formula>0.4</formula>
    </cfRule>
    <cfRule type="cellIs" dxfId="376" priority="410" operator="between">
      <formula>0.4</formula>
      <formula>0.799</formula>
    </cfRule>
    <cfRule type="cellIs" dxfId="375" priority="411" operator="greaterThanOrEqual">
      <formula>0.8</formula>
    </cfRule>
  </conditionalFormatting>
  <conditionalFormatting sqref="AB10">
    <cfRule type="cellIs" dxfId="374" priority="403" operator="lessThan">
      <formula>0.4</formula>
    </cfRule>
    <cfRule type="cellIs" dxfId="373" priority="404" operator="between">
      <formula>0.4</formula>
      <formula>0.799</formula>
    </cfRule>
    <cfRule type="cellIs" dxfId="372" priority="405" operator="greaterThanOrEqual">
      <formula>0.8</formula>
    </cfRule>
  </conditionalFormatting>
  <conditionalFormatting sqref="AH5:AH6">
    <cfRule type="cellIs" dxfId="371" priority="355" operator="lessThan">
      <formula>0.4</formula>
    </cfRule>
    <cfRule type="cellIs" dxfId="370" priority="356" operator="between">
      <formula>0.4</formula>
      <formula>0.799</formula>
    </cfRule>
    <cfRule type="cellIs" dxfId="369" priority="357" operator="greaterThanOrEqual">
      <formula>0.8</formula>
    </cfRule>
  </conditionalFormatting>
  <conditionalFormatting sqref="AB7:AB9">
    <cfRule type="cellIs" dxfId="368" priority="352" operator="lessThan">
      <formula>0.4</formula>
    </cfRule>
    <cfRule type="cellIs" dxfId="367" priority="353" operator="between">
      <formula>0.4</formula>
      <formula>0.799</formula>
    </cfRule>
    <cfRule type="cellIs" dxfId="366" priority="354" operator="greaterThanOrEqual">
      <formula>0.8</formula>
    </cfRule>
  </conditionalFormatting>
  <conditionalFormatting sqref="AE7:AE12">
    <cfRule type="cellIs" dxfId="365" priority="349" operator="lessThan">
      <formula>0.4</formula>
    </cfRule>
    <cfRule type="cellIs" dxfId="364" priority="350" operator="between">
      <formula>0.4</formula>
      <formula>0.799</formula>
    </cfRule>
    <cfRule type="cellIs" dxfId="363" priority="351" operator="greaterThanOrEqual">
      <formula>0.8</formula>
    </cfRule>
  </conditionalFormatting>
  <conditionalFormatting sqref="AH7:AH12">
    <cfRule type="cellIs" dxfId="362" priority="346" operator="lessThan">
      <formula>0.4</formula>
    </cfRule>
    <cfRule type="cellIs" dxfId="361" priority="347" operator="between">
      <formula>0.4</formula>
      <formula>0.799</formula>
    </cfRule>
    <cfRule type="cellIs" dxfId="360" priority="348" operator="greaterThanOrEqual">
      <formula>0.8</formula>
    </cfRule>
  </conditionalFormatting>
  <conditionalFormatting sqref="AB5:AB6">
    <cfRule type="cellIs" dxfId="359" priority="343" operator="lessThan">
      <formula>0.4</formula>
    </cfRule>
    <cfRule type="cellIs" dxfId="358" priority="344" operator="between">
      <formula>0.4</formula>
      <formula>0.799</formula>
    </cfRule>
    <cfRule type="cellIs" dxfId="357" priority="345" operator="greaterThanOrEqual">
      <formula>0.8</formula>
    </cfRule>
  </conditionalFormatting>
  <conditionalFormatting sqref="AE5:AE6">
    <cfRule type="cellIs" dxfId="356" priority="340" operator="lessThan">
      <formula>0.4</formula>
    </cfRule>
    <cfRule type="cellIs" dxfId="355" priority="341" operator="between">
      <formula>0.4</formula>
      <formula>0.799</formula>
    </cfRule>
    <cfRule type="cellIs" dxfId="354" priority="342" operator="greaterThanOrEqual">
      <formula>0.8</formula>
    </cfRule>
  </conditionalFormatting>
  <conditionalFormatting sqref="AK5:AK12">
    <cfRule type="cellIs" dxfId="353" priority="331" operator="lessThan">
      <formula>0.4</formula>
    </cfRule>
    <cfRule type="cellIs" dxfId="352" priority="332" operator="between">
      <formula>0.4</formula>
      <formula>0.799</formula>
    </cfRule>
    <cfRule type="cellIs" dxfId="351" priority="333" operator="greaterThanOrEqual">
      <formula>0.8</formula>
    </cfRule>
  </conditionalFormatting>
  <conditionalFormatting sqref="AN10">
    <cfRule type="cellIs" dxfId="350" priority="328" operator="lessThan">
      <formula>0.4</formula>
    </cfRule>
    <cfRule type="cellIs" dxfId="349" priority="329" operator="between">
      <formula>0.4</formula>
      <formula>0.799</formula>
    </cfRule>
    <cfRule type="cellIs" dxfId="348" priority="330" operator="greaterThanOrEqual">
      <formula>0.8</formula>
    </cfRule>
  </conditionalFormatting>
  <conditionalFormatting sqref="AN8">
    <cfRule type="cellIs" dxfId="347" priority="325" operator="lessThan">
      <formula>0.4</formula>
    </cfRule>
    <cfRule type="cellIs" dxfId="346" priority="326" operator="between">
      <formula>0.4</formula>
      <formula>0.799</formula>
    </cfRule>
    <cfRule type="cellIs" dxfId="345" priority="327" operator="greaterThanOrEqual">
      <formula>0.8</formula>
    </cfRule>
  </conditionalFormatting>
  <conditionalFormatting sqref="AN6:AN7">
    <cfRule type="cellIs" dxfId="344" priority="322" operator="lessThan">
      <formula>0.4</formula>
    </cfRule>
    <cfRule type="cellIs" dxfId="343" priority="323" operator="between">
      <formula>0.4</formula>
      <formula>0.799</formula>
    </cfRule>
    <cfRule type="cellIs" dxfId="342" priority="324" operator="greaterThanOrEqual">
      <formula>0.8</formula>
    </cfRule>
  </conditionalFormatting>
  <conditionalFormatting sqref="AN5">
    <cfRule type="cellIs" dxfId="341" priority="319" operator="lessThan">
      <formula>0.4</formula>
    </cfRule>
    <cfRule type="cellIs" dxfId="340" priority="320" operator="between">
      <formula>0.4</formula>
      <formula>0.799</formula>
    </cfRule>
    <cfRule type="cellIs" dxfId="339" priority="321" operator="greaterThanOrEqual">
      <formula>0.8</formula>
    </cfRule>
  </conditionalFormatting>
  <conditionalFormatting sqref="AN9">
    <cfRule type="cellIs" dxfId="338" priority="316" operator="lessThan">
      <formula>0.4</formula>
    </cfRule>
    <cfRule type="cellIs" dxfId="337" priority="317" operator="between">
      <formula>0.4</formula>
      <formula>0.799</formula>
    </cfRule>
    <cfRule type="cellIs" dxfId="336" priority="318" operator="greaterThanOrEqual">
      <formula>0.8</formula>
    </cfRule>
  </conditionalFormatting>
  <conditionalFormatting sqref="AN12">
    <cfRule type="cellIs" dxfId="335" priority="313" operator="lessThan">
      <formula>0.4</formula>
    </cfRule>
    <cfRule type="cellIs" dxfId="334" priority="314" operator="between">
      <formula>0.4</formula>
      <formula>0.799</formula>
    </cfRule>
    <cfRule type="cellIs" dxfId="333" priority="315" operator="greaterThanOrEqual">
      <formula>0.8</formula>
    </cfRule>
  </conditionalFormatting>
  <conditionalFormatting sqref="AN11">
    <cfRule type="cellIs" dxfId="332" priority="310" operator="lessThan">
      <formula>0.4</formula>
    </cfRule>
    <cfRule type="cellIs" dxfId="331" priority="311" operator="between">
      <formula>0.4</formula>
      <formula>0.799</formula>
    </cfRule>
    <cfRule type="cellIs" dxfId="330" priority="312" operator="greaterThanOrEqual">
      <formula>0.8</formula>
    </cfRule>
  </conditionalFormatting>
  <conditionalFormatting sqref="AQ11:AQ12">
    <cfRule type="cellIs" dxfId="329" priority="307" operator="lessThan">
      <formula>0.4</formula>
    </cfRule>
    <cfRule type="cellIs" dxfId="328" priority="308" operator="between">
      <formula>0.4</formula>
      <formula>0.799</formula>
    </cfRule>
    <cfRule type="cellIs" dxfId="327" priority="309" operator="greaterThanOrEqual">
      <formula>0.8</formula>
    </cfRule>
  </conditionalFormatting>
  <conditionalFormatting sqref="AQ5:AQ10">
    <cfRule type="cellIs" dxfId="326" priority="301" operator="lessThan">
      <formula>0.4</formula>
    </cfRule>
    <cfRule type="cellIs" dxfId="325" priority="302" operator="between">
      <formula>0.4</formula>
      <formula>0.799</formula>
    </cfRule>
    <cfRule type="cellIs" dxfId="324" priority="303" operator="greaterThanOrEqual">
      <formula>0.8</formula>
    </cfRule>
  </conditionalFormatting>
  <conditionalFormatting sqref="AT9">
    <cfRule type="cellIs" dxfId="323" priority="292" operator="lessThan">
      <formula>0.4</formula>
    </cfRule>
    <cfRule type="cellIs" dxfId="322" priority="293" operator="between">
      <formula>0.4</formula>
      <formula>0.799</formula>
    </cfRule>
    <cfRule type="cellIs" dxfId="321" priority="294" operator="greaterThanOrEqual">
      <formula>0.8</formula>
    </cfRule>
  </conditionalFormatting>
  <conditionalFormatting sqref="AT11">
    <cfRule type="cellIs" dxfId="320" priority="289" operator="lessThan">
      <formula>0.4</formula>
    </cfRule>
    <cfRule type="cellIs" dxfId="319" priority="290" operator="between">
      <formula>0.4</formula>
      <formula>0.799</formula>
    </cfRule>
    <cfRule type="cellIs" dxfId="318" priority="291" operator="greaterThanOrEqual">
      <formula>0.8</formula>
    </cfRule>
  </conditionalFormatting>
  <conditionalFormatting sqref="AT5">
    <cfRule type="cellIs" dxfId="317" priority="286" operator="lessThan">
      <formula>0.4</formula>
    </cfRule>
    <cfRule type="cellIs" dxfId="316" priority="287" operator="between">
      <formula>0.4</formula>
      <formula>0.799</formula>
    </cfRule>
    <cfRule type="cellIs" dxfId="315" priority="288" operator="greaterThanOrEqual">
      <formula>0.8</formula>
    </cfRule>
  </conditionalFormatting>
  <conditionalFormatting sqref="AT7">
    <cfRule type="cellIs" dxfId="314" priority="283" operator="lessThan">
      <formula>0.4</formula>
    </cfRule>
    <cfRule type="cellIs" dxfId="313" priority="284" operator="between">
      <formula>0.4</formula>
      <formula>0.799</formula>
    </cfRule>
    <cfRule type="cellIs" dxfId="312" priority="285" operator="greaterThanOrEqual">
      <formula>0.8</formula>
    </cfRule>
  </conditionalFormatting>
  <conditionalFormatting sqref="AT6">
    <cfRule type="cellIs" dxfId="311" priority="277" operator="lessThan">
      <formula>0.4</formula>
    </cfRule>
    <cfRule type="cellIs" dxfId="310" priority="278" operator="between">
      <formula>0.4</formula>
      <formula>0.799</formula>
    </cfRule>
    <cfRule type="cellIs" dxfId="309" priority="279" operator="greaterThanOrEqual">
      <formula>0.8</formula>
    </cfRule>
  </conditionalFormatting>
  <conditionalFormatting sqref="AT8">
    <cfRule type="cellIs" dxfId="308" priority="274" operator="lessThan">
      <formula>0.4</formula>
    </cfRule>
    <cfRule type="cellIs" dxfId="307" priority="275" operator="between">
      <formula>0.4</formula>
      <formula>0.799</formula>
    </cfRule>
    <cfRule type="cellIs" dxfId="306" priority="276" operator="greaterThanOrEqual">
      <formula>0.8</formula>
    </cfRule>
  </conditionalFormatting>
  <conditionalFormatting sqref="AT10">
    <cfRule type="cellIs" dxfId="305" priority="271" operator="lessThan">
      <formula>0.4</formula>
    </cfRule>
    <cfRule type="cellIs" dxfId="304" priority="272" operator="between">
      <formula>0.4</formula>
      <formula>0.799</formula>
    </cfRule>
    <cfRule type="cellIs" dxfId="303" priority="273" operator="greaterThanOrEqual">
      <formula>0.8</formula>
    </cfRule>
  </conditionalFormatting>
  <conditionalFormatting sqref="AT12">
    <cfRule type="cellIs" dxfId="302" priority="268" operator="lessThan">
      <formula>0.4</formula>
    </cfRule>
    <cfRule type="cellIs" dxfId="301" priority="269" operator="between">
      <formula>0.4</formula>
      <formula>0.799</formula>
    </cfRule>
    <cfRule type="cellIs" dxfId="300" priority="270" operator="greaterThanOrEqual">
      <formula>0.8</formula>
    </cfRule>
  </conditionalFormatting>
  <conditionalFormatting sqref="AW11">
    <cfRule type="cellIs" dxfId="299" priority="265" operator="lessThan">
      <formula>0.4</formula>
    </cfRule>
    <cfRule type="cellIs" dxfId="298" priority="266" operator="between">
      <formula>0.4</formula>
      <formula>0.799</formula>
    </cfRule>
    <cfRule type="cellIs" dxfId="297" priority="267" operator="greaterThanOrEqual">
      <formula>0.8</formula>
    </cfRule>
  </conditionalFormatting>
  <conditionalFormatting sqref="AW12">
    <cfRule type="cellIs" dxfId="296" priority="262" operator="lessThan">
      <formula>0.4</formula>
    </cfRule>
    <cfRule type="cellIs" dxfId="295" priority="263" operator="between">
      <formula>0.4</formula>
      <formula>0.799</formula>
    </cfRule>
    <cfRule type="cellIs" dxfId="294" priority="264" operator="greaterThanOrEqual">
      <formula>0.8</formula>
    </cfRule>
  </conditionalFormatting>
  <conditionalFormatting sqref="AW9">
    <cfRule type="cellIs" dxfId="293" priority="259" operator="lessThan">
      <formula>0.4</formula>
    </cfRule>
    <cfRule type="cellIs" dxfId="292" priority="260" operator="between">
      <formula>0.4</formula>
      <formula>0.799</formula>
    </cfRule>
    <cfRule type="cellIs" dxfId="291" priority="261" operator="greaterThanOrEqual">
      <formula>0.8</formula>
    </cfRule>
  </conditionalFormatting>
  <conditionalFormatting sqref="AW6">
    <cfRule type="cellIs" dxfId="290" priority="256" operator="lessThan">
      <formula>0.4</formula>
    </cfRule>
    <cfRule type="cellIs" dxfId="289" priority="257" operator="between">
      <formula>0.4</formula>
      <formula>0.799</formula>
    </cfRule>
    <cfRule type="cellIs" dxfId="288" priority="258" operator="greaterThanOrEqual">
      <formula>0.8</formula>
    </cfRule>
  </conditionalFormatting>
  <conditionalFormatting sqref="AW8">
    <cfRule type="cellIs" dxfId="287" priority="253" operator="lessThan">
      <formula>0.4</formula>
    </cfRule>
    <cfRule type="cellIs" dxfId="286" priority="254" operator="between">
      <formula>0.4</formula>
      <formula>0.799</formula>
    </cfRule>
    <cfRule type="cellIs" dxfId="285" priority="255" operator="greaterThanOrEqual">
      <formula>0.8</formula>
    </cfRule>
  </conditionalFormatting>
  <conditionalFormatting sqref="AW10">
    <cfRule type="cellIs" dxfId="284" priority="250" operator="lessThan">
      <formula>0.4</formula>
    </cfRule>
    <cfRule type="cellIs" dxfId="283" priority="251" operator="between">
      <formula>0.4</formula>
      <formula>0.799</formula>
    </cfRule>
    <cfRule type="cellIs" dxfId="282" priority="252" operator="greaterThanOrEqual">
      <formula>0.8</formula>
    </cfRule>
  </conditionalFormatting>
  <conditionalFormatting sqref="AW5">
    <cfRule type="cellIs" dxfId="281" priority="247" operator="lessThan">
      <formula>0.4</formula>
    </cfRule>
    <cfRule type="cellIs" dxfId="280" priority="248" operator="between">
      <formula>0.4</formula>
      <formula>0.799</formula>
    </cfRule>
    <cfRule type="cellIs" dxfId="279" priority="249" operator="greaterThanOrEqual">
      <formula>0.8</formula>
    </cfRule>
  </conditionalFormatting>
  <conditionalFormatting sqref="AW7">
    <cfRule type="cellIs" dxfId="278" priority="244" operator="lessThan">
      <formula>0.4</formula>
    </cfRule>
    <cfRule type="cellIs" dxfId="277" priority="245" operator="between">
      <formula>0.4</formula>
      <formula>0.799</formula>
    </cfRule>
    <cfRule type="cellIs" dxfId="276" priority="246" operator="greaterThanOrEqual">
      <formula>0.8</formula>
    </cfRule>
  </conditionalFormatting>
  <conditionalFormatting sqref="AZ11">
    <cfRule type="cellIs" dxfId="275" priority="241" operator="lessThan">
      <formula>0.4</formula>
    </cfRule>
    <cfRule type="cellIs" dxfId="274" priority="242" operator="between">
      <formula>0.4</formula>
      <formula>0.799</formula>
    </cfRule>
    <cfRule type="cellIs" dxfId="273" priority="243" operator="greaterThanOrEqual">
      <formula>0.8</formula>
    </cfRule>
  </conditionalFormatting>
  <conditionalFormatting sqref="AZ12">
    <cfRule type="cellIs" dxfId="272" priority="238" operator="lessThan">
      <formula>0.4</formula>
    </cfRule>
    <cfRule type="cellIs" dxfId="271" priority="239" operator="between">
      <formula>0.4</formula>
      <formula>0.799</formula>
    </cfRule>
    <cfRule type="cellIs" dxfId="270" priority="240" operator="greaterThanOrEqual">
      <formula>0.8</formula>
    </cfRule>
  </conditionalFormatting>
  <conditionalFormatting sqref="AZ9">
    <cfRule type="cellIs" dxfId="269" priority="235" operator="lessThan">
      <formula>0.4</formula>
    </cfRule>
    <cfRule type="cellIs" dxfId="268" priority="236" operator="between">
      <formula>0.4</formula>
      <formula>0.799</formula>
    </cfRule>
    <cfRule type="cellIs" dxfId="267" priority="237" operator="greaterThanOrEqual">
      <formula>0.8</formula>
    </cfRule>
  </conditionalFormatting>
  <conditionalFormatting sqref="AZ6">
    <cfRule type="cellIs" dxfId="266" priority="232" operator="lessThan">
      <formula>0.4</formula>
    </cfRule>
    <cfRule type="cellIs" dxfId="265" priority="233" operator="between">
      <formula>0.4</formula>
      <formula>0.799</formula>
    </cfRule>
    <cfRule type="cellIs" dxfId="264" priority="234" operator="greaterThanOrEqual">
      <formula>0.8</formula>
    </cfRule>
  </conditionalFormatting>
  <conditionalFormatting sqref="AZ8">
    <cfRule type="cellIs" dxfId="263" priority="229" operator="lessThan">
      <formula>0.4</formula>
    </cfRule>
    <cfRule type="cellIs" dxfId="262" priority="230" operator="between">
      <formula>0.4</formula>
      <formula>0.799</formula>
    </cfRule>
    <cfRule type="cellIs" dxfId="261" priority="231" operator="greaterThanOrEqual">
      <formula>0.8</formula>
    </cfRule>
  </conditionalFormatting>
  <conditionalFormatting sqref="AZ10">
    <cfRule type="cellIs" dxfId="260" priority="226" operator="lessThan">
      <formula>0.4</formula>
    </cfRule>
    <cfRule type="cellIs" dxfId="259" priority="227" operator="between">
      <formula>0.4</formula>
      <formula>0.799</formula>
    </cfRule>
    <cfRule type="cellIs" dxfId="258" priority="228" operator="greaterThanOrEqual">
      <formula>0.8</formula>
    </cfRule>
  </conditionalFormatting>
  <conditionalFormatting sqref="AZ5">
    <cfRule type="cellIs" dxfId="257" priority="223" operator="lessThan">
      <formula>0.4</formula>
    </cfRule>
    <cfRule type="cellIs" dxfId="256" priority="224" operator="between">
      <formula>0.4</formula>
      <formula>0.799</formula>
    </cfRule>
    <cfRule type="cellIs" dxfId="255" priority="225" operator="greaterThanOrEqual">
      <formula>0.8</formula>
    </cfRule>
  </conditionalFormatting>
  <conditionalFormatting sqref="AZ7">
    <cfRule type="cellIs" dxfId="254" priority="220" operator="lessThan">
      <formula>0.4</formula>
    </cfRule>
    <cfRule type="cellIs" dxfId="253" priority="221" operator="between">
      <formula>0.4</formula>
      <formula>0.799</formula>
    </cfRule>
    <cfRule type="cellIs" dxfId="252" priority="222" operator="greaterThanOrEqual">
      <formula>0.8</formula>
    </cfRule>
  </conditionalFormatting>
  <conditionalFormatting sqref="BR9">
    <cfRule type="cellIs" dxfId="251" priority="202" operator="lessThan">
      <formula>0.4</formula>
    </cfRule>
    <cfRule type="cellIs" dxfId="250" priority="203" operator="between">
      <formula>0.4</formula>
      <formula>0.799</formula>
    </cfRule>
    <cfRule type="cellIs" dxfId="249" priority="204" operator="greaterThanOrEqual">
      <formula>0.8</formula>
    </cfRule>
  </conditionalFormatting>
  <conditionalFormatting sqref="BF6 BH6">
    <cfRule type="cellIs" dxfId="248" priority="184" operator="lessThan">
      <formula>0.4</formula>
    </cfRule>
    <cfRule type="cellIs" dxfId="247" priority="185" operator="between">
      <formula>0.4</formula>
      <formula>0.799</formula>
    </cfRule>
    <cfRule type="cellIs" dxfId="246" priority="186" operator="greaterThanOrEqual">
      <formula>0.8</formula>
    </cfRule>
  </conditionalFormatting>
  <conditionalFormatting sqref="BF8:BH8">
    <cfRule type="cellIs" dxfId="245" priority="181" operator="lessThan">
      <formula>0.4</formula>
    </cfRule>
    <cfRule type="cellIs" dxfId="244" priority="182" operator="between">
      <formula>0.4</formula>
      <formula>0.799</formula>
    </cfRule>
    <cfRule type="cellIs" dxfId="243" priority="183" operator="greaterThanOrEqual">
      <formula>0.8</formula>
    </cfRule>
  </conditionalFormatting>
  <conditionalFormatting sqref="BF10:BH10">
    <cfRule type="cellIs" dxfId="242" priority="178" operator="lessThan">
      <formula>0.4</formula>
    </cfRule>
    <cfRule type="cellIs" dxfId="241" priority="179" operator="between">
      <formula>0.4</formula>
      <formula>0.799</formula>
    </cfRule>
    <cfRule type="cellIs" dxfId="240" priority="180" operator="greaterThanOrEqual">
      <formula>0.8</formula>
    </cfRule>
  </conditionalFormatting>
  <conditionalFormatting sqref="BF5 BF7">
    <cfRule type="cellIs" dxfId="239" priority="175" operator="lessThan">
      <formula>0.4</formula>
    </cfRule>
    <cfRule type="cellIs" dxfId="238" priority="176" operator="between">
      <formula>0.4</formula>
      <formula>0.799</formula>
    </cfRule>
    <cfRule type="cellIs" dxfId="237" priority="177" operator="greaterThanOrEqual">
      <formula>0.8</formula>
    </cfRule>
  </conditionalFormatting>
  <conditionalFormatting sqref="BF11">
    <cfRule type="cellIs" dxfId="236" priority="169" operator="lessThan">
      <formula>0.4</formula>
    </cfRule>
    <cfRule type="cellIs" dxfId="235" priority="170" operator="between">
      <formula>0.4</formula>
      <formula>0.799</formula>
    </cfRule>
    <cfRule type="cellIs" dxfId="234" priority="171" operator="greaterThanOrEqual">
      <formula>0.8</formula>
    </cfRule>
  </conditionalFormatting>
  <conditionalFormatting sqref="BF12">
    <cfRule type="cellIs" dxfId="233" priority="166" operator="lessThan">
      <formula>0.4</formula>
    </cfRule>
    <cfRule type="cellIs" dxfId="232" priority="167" operator="between">
      <formula>0.4</formula>
      <formula>0.799</formula>
    </cfRule>
    <cfRule type="cellIs" dxfId="231" priority="168" operator="greaterThanOrEqual">
      <formula>0.8</formula>
    </cfRule>
  </conditionalFormatting>
  <conditionalFormatting sqref="BF9">
    <cfRule type="cellIs" dxfId="230" priority="163" operator="lessThan">
      <formula>0.4</formula>
    </cfRule>
    <cfRule type="cellIs" dxfId="229" priority="164" operator="between">
      <formula>0.4</formula>
      <formula>0.799</formula>
    </cfRule>
    <cfRule type="cellIs" dxfId="228" priority="165" operator="greaterThanOrEqual">
      <formula>0.8</formula>
    </cfRule>
  </conditionalFormatting>
  <conditionalFormatting sqref="BR5 BR7">
    <cfRule type="cellIs" dxfId="227" priority="160" operator="lessThan">
      <formula>0.4</formula>
    </cfRule>
    <cfRule type="cellIs" dxfId="226" priority="161" operator="between">
      <formula>0.4</formula>
      <formula>0.799</formula>
    </cfRule>
    <cfRule type="cellIs" dxfId="225" priority="162" operator="greaterThanOrEqual">
      <formula>0.8</formula>
    </cfRule>
  </conditionalFormatting>
  <conditionalFormatting sqref="BR10">
    <cfRule type="cellIs" dxfId="224" priority="157" operator="lessThan">
      <formula>0.4</formula>
    </cfRule>
    <cfRule type="cellIs" dxfId="223" priority="158" operator="between">
      <formula>0.4</formula>
      <formula>0.799</formula>
    </cfRule>
    <cfRule type="cellIs" dxfId="222" priority="159" operator="greaterThanOrEqual">
      <formula>0.8</formula>
    </cfRule>
  </conditionalFormatting>
  <conditionalFormatting sqref="BY5 BY7">
    <cfRule type="cellIs" dxfId="221" priority="154" operator="lessThan">
      <formula>0.4</formula>
    </cfRule>
    <cfRule type="cellIs" dxfId="220" priority="155" operator="between">
      <formula>0.4</formula>
      <formula>0.799</formula>
    </cfRule>
    <cfRule type="cellIs" dxfId="219" priority="156" operator="greaterThanOrEqual">
      <formula>0.8</formula>
    </cfRule>
  </conditionalFormatting>
  <conditionalFormatting sqref="BY9">
    <cfRule type="cellIs" dxfId="218" priority="148" operator="lessThan">
      <formula>0.4</formula>
    </cfRule>
    <cfRule type="cellIs" dxfId="217" priority="149" operator="between">
      <formula>0.4</formula>
      <formula>0.799</formula>
    </cfRule>
    <cfRule type="cellIs" dxfId="216" priority="150" operator="greaterThanOrEqual">
      <formula>0.8</formula>
    </cfRule>
  </conditionalFormatting>
  <conditionalFormatting sqref="BY6 BY8">
    <cfRule type="cellIs" dxfId="215" priority="145" operator="lessThan">
      <formula>0.4</formula>
    </cfRule>
    <cfRule type="cellIs" dxfId="214" priority="146" operator="between">
      <formula>0.4</formula>
      <formula>0.799</formula>
    </cfRule>
    <cfRule type="cellIs" dxfId="213" priority="147" operator="greaterThanOrEqual">
      <formula>0.8</formula>
    </cfRule>
  </conditionalFormatting>
  <conditionalFormatting sqref="BY10">
    <cfRule type="cellIs" dxfId="212" priority="142" operator="lessThan">
      <formula>0.4</formula>
    </cfRule>
    <cfRule type="cellIs" dxfId="211" priority="143" operator="between">
      <formula>0.4</formula>
      <formula>0.799</formula>
    </cfRule>
    <cfRule type="cellIs" dxfId="210" priority="144" operator="greaterThanOrEqual">
      <formula>0.8</formula>
    </cfRule>
  </conditionalFormatting>
  <conditionalFormatting sqref="BR6">
    <cfRule type="cellIs" dxfId="209" priority="127" operator="lessThan">
      <formula>0.4</formula>
    </cfRule>
    <cfRule type="cellIs" dxfId="208" priority="128" operator="between">
      <formula>0.4</formula>
      <formula>0.799</formula>
    </cfRule>
    <cfRule type="cellIs" dxfId="207" priority="129" operator="greaterThanOrEqual">
      <formula>0.8</formula>
    </cfRule>
  </conditionalFormatting>
  <conditionalFormatting sqref="BR8">
    <cfRule type="cellIs" dxfId="206" priority="124" operator="lessThan">
      <formula>0.4</formula>
    </cfRule>
    <cfRule type="cellIs" dxfId="205" priority="125" operator="between">
      <formula>0.4</formula>
      <formula>0.799</formula>
    </cfRule>
    <cfRule type="cellIs" dxfId="204" priority="126" operator="greaterThanOrEqual">
      <formula>0.8</formula>
    </cfRule>
  </conditionalFormatting>
  <conditionalFormatting sqref="CF5:CF9">
    <cfRule type="cellIs" dxfId="203" priority="121" operator="lessThan">
      <formula>0.4</formula>
    </cfRule>
    <cfRule type="cellIs" dxfId="202" priority="122" operator="between">
      <formula>0.4</formula>
      <formula>0.799</formula>
    </cfRule>
    <cfRule type="cellIs" dxfId="201" priority="123" operator="greaterThanOrEqual">
      <formula>0.8</formula>
    </cfRule>
  </conditionalFormatting>
  <conditionalFormatting sqref="CF10">
    <cfRule type="cellIs" dxfId="200" priority="115" operator="lessThan">
      <formula>0.4</formula>
    </cfRule>
    <cfRule type="cellIs" dxfId="199" priority="116" operator="between">
      <formula>0.4</formula>
      <formula>0.799</formula>
    </cfRule>
    <cfRule type="cellIs" dxfId="198" priority="117" operator="greaterThanOrEqual">
      <formula>0.8</formula>
    </cfRule>
  </conditionalFormatting>
  <conditionalFormatting sqref="BR11">
    <cfRule type="cellIs" dxfId="197" priority="112" operator="lessThan">
      <formula>0.4</formula>
    </cfRule>
    <cfRule type="cellIs" dxfId="196" priority="113" operator="between">
      <formula>0.4</formula>
      <formula>0.799</formula>
    </cfRule>
    <cfRule type="cellIs" dxfId="195" priority="114" operator="greaterThanOrEqual">
      <formula>0.8</formula>
    </cfRule>
  </conditionalFormatting>
  <conditionalFormatting sqref="BY11">
    <cfRule type="cellIs" dxfId="194" priority="109" operator="lessThan">
      <formula>0.4</formula>
    </cfRule>
    <cfRule type="cellIs" dxfId="193" priority="110" operator="between">
      <formula>0.4</formula>
      <formula>0.799</formula>
    </cfRule>
    <cfRule type="cellIs" dxfId="192" priority="111" operator="greaterThanOrEqual">
      <formula>0.8</formula>
    </cfRule>
  </conditionalFormatting>
  <conditionalFormatting sqref="CF11">
    <cfRule type="cellIs" dxfId="191" priority="106" operator="lessThan">
      <formula>0.4</formula>
    </cfRule>
    <cfRule type="cellIs" dxfId="190" priority="107" operator="between">
      <formula>0.4</formula>
      <formula>0.799</formula>
    </cfRule>
    <cfRule type="cellIs" dxfId="189" priority="108" operator="greaterThanOrEqual">
      <formula>0.8</formula>
    </cfRule>
  </conditionalFormatting>
  <conditionalFormatting sqref="CF12">
    <cfRule type="cellIs" dxfId="188" priority="103" operator="lessThan">
      <formula>0.4</formula>
    </cfRule>
    <cfRule type="cellIs" dxfId="187" priority="104" operator="between">
      <formula>0.4</formula>
      <formula>0.799</formula>
    </cfRule>
    <cfRule type="cellIs" dxfId="186" priority="105" operator="greaterThanOrEqual">
      <formula>0.8</formula>
    </cfRule>
  </conditionalFormatting>
  <conditionalFormatting sqref="BR12">
    <cfRule type="cellIs" dxfId="185" priority="100" operator="lessThan">
      <formula>0.4</formula>
    </cfRule>
    <cfRule type="cellIs" dxfId="184" priority="101" operator="between">
      <formula>0.4</formula>
      <formula>0.799</formula>
    </cfRule>
    <cfRule type="cellIs" dxfId="183" priority="102" operator="greaterThanOrEqual">
      <formula>0.8</formula>
    </cfRule>
  </conditionalFormatting>
  <conditionalFormatting sqref="BY12">
    <cfRule type="cellIs" dxfId="182" priority="97" operator="lessThan">
      <formula>0.4</formula>
    </cfRule>
    <cfRule type="cellIs" dxfId="181" priority="98" operator="between">
      <formula>0.4</formula>
      <formula>0.799</formula>
    </cfRule>
    <cfRule type="cellIs" dxfId="180" priority="99" operator="greaterThanOrEqual">
      <formula>0.8</formula>
    </cfRule>
  </conditionalFormatting>
  <conditionalFormatting sqref="CM5:CM12">
    <cfRule type="cellIs" dxfId="179" priority="34" operator="lessThan">
      <formula>0.4</formula>
    </cfRule>
    <cfRule type="cellIs" dxfId="178" priority="35" operator="between">
      <formula>0.4</formula>
      <formula>0.799</formula>
    </cfRule>
    <cfRule type="cellIs" dxfId="177" priority="36" operator="greaterThanOrEqual">
      <formula>0.8</formula>
    </cfRule>
  </conditionalFormatting>
  <conditionalFormatting sqref="CT5:CT12">
    <cfRule type="cellIs" dxfId="176" priority="10" operator="lessThan">
      <formula>0.4</formula>
    </cfRule>
    <cfRule type="cellIs" dxfId="175" priority="11" operator="between">
      <formula>0.4</formula>
      <formula>0.799</formula>
    </cfRule>
    <cfRule type="cellIs" dxfId="174" priority="12" operator="greaterThanOrEqual">
      <formula>0.8</formula>
    </cfRule>
  </conditionalFormatting>
  <conditionalFormatting sqref="DA5:DA11">
    <cfRule type="cellIs" dxfId="8" priority="7" operator="lessThan">
      <formula>0.4</formula>
    </cfRule>
    <cfRule type="cellIs" dxfId="7" priority="8" operator="between">
      <formula>0.4</formula>
      <formula>0.799</formula>
    </cfRule>
    <cfRule type="cellIs" dxfId="6" priority="9" operator="greaterThanOrEqual">
      <formula>0.8</formula>
    </cfRule>
  </conditionalFormatting>
  <conditionalFormatting sqref="DA12">
    <cfRule type="cellIs" dxfId="2" priority="1" operator="lessThan">
      <formula>0.4</formula>
    </cfRule>
    <cfRule type="cellIs" dxfId="1" priority="2" operator="between">
      <formula>0.4</formula>
      <formula>0.799</formula>
    </cfRule>
    <cfRule type="cellIs" dxfId="0" priority="3" operator="greaterThanOrEqual">
      <formula>0.8</formula>
    </cfRule>
  </conditionalFormatting>
  <pageMargins left="1.1023622047244095" right="0.70866141732283472" top="0.74803149606299213" bottom="0.74803149606299213" header="0.31496062992125984" footer="0.31496062992125984"/>
  <pageSetup scale="57" orientation="landscape" horizontalDpi="1200" verticalDpi="1200" r:id="rId1"/>
  <headerFooter>
    <oddFooter>Página &amp;P</oddFooter>
  </headerFooter>
  <ignoredErrors>
    <ignoredError sqref="CP8" formula="1"/>
  </ignoredError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784BC-7649-46B9-BAE8-89CE80D3933F}">
  <dimension ref="A1:L3"/>
  <sheetViews>
    <sheetView workbookViewId="0">
      <selection sqref="A1:L3"/>
    </sheetView>
  </sheetViews>
  <sheetFormatPr baseColWidth="10" defaultRowHeight="15" x14ac:dyDescent="0.25"/>
  <cols>
    <col min="1" max="1" width="14.28515625" customWidth="1"/>
    <col min="2" max="2" width="20.28515625" customWidth="1"/>
    <col min="7" max="7" width="23.140625" customWidth="1"/>
    <col min="8" max="8" width="14.28515625" customWidth="1"/>
    <col min="9" max="9" width="19" customWidth="1"/>
    <col min="10" max="10" width="18" customWidth="1"/>
    <col min="12" max="12" width="21" customWidth="1"/>
  </cols>
  <sheetData>
    <row r="1" spans="1:12" ht="18" x14ac:dyDescent="0.25">
      <c r="A1" s="435" t="s">
        <v>2</v>
      </c>
      <c r="B1" s="428" t="s">
        <v>1</v>
      </c>
      <c r="C1" s="428" t="s">
        <v>3</v>
      </c>
      <c r="D1" s="428"/>
      <c r="E1" s="428"/>
      <c r="F1" s="428"/>
      <c r="G1" s="428" t="s">
        <v>36</v>
      </c>
      <c r="H1" s="438" t="s">
        <v>17</v>
      </c>
      <c r="I1" s="438"/>
      <c r="J1" s="438"/>
      <c r="K1" s="433" t="s">
        <v>20</v>
      </c>
      <c r="L1" s="434"/>
    </row>
    <row r="2" spans="1:12" ht="58.5" customHeight="1" thickBot="1" x14ac:dyDescent="0.3">
      <c r="A2" s="436"/>
      <c r="B2" s="437"/>
      <c r="C2" s="57">
        <v>2019</v>
      </c>
      <c r="D2" s="57">
        <v>2020</v>
      </c>
      <c r="E2" s="57">
        <v>2021</v>
      </c>
      <c r="F2" s="57">
        <v>2022</v>
      </c>
      <c r="G2" s="437"/>
      <c r="H2" s="58" t="s">
        <v>18</v>
      </c>
      <c r="I2" s="59" t="s">
        <v>19</v>
      </c>
      <c r="J2" s="59" t="s">
        <v>24</v>
      </c>
      <c r="K2" s="54" t="s">
        <v>92</v>
      </c>
      <c r="L2" s="55" t="s">
        <v>90</v>
      </c>
    </row>
    <row r="3" spans="1:12" ht="36" x14ac:dyDescent="0.25">
      <c r="A3" s="60" t="s">
        <v>4</v>
      </c>
      <c r="B3" s="61">
        <v>1</v>
      </c>
      <c r="C3" s="45">
        <v>0.05</v>
      </c>
      <c r="D3" s="45">
        <v>0.3</v>
      </c>
      <c r="E3" s="45">
        <v>0.6</v>
      </c>
      <c r="F3" s="46">
        <v>1</v>
      </c>
      <c r="G3" s="64" t="s">
        <v>93</v>
      </c>
      <c r="H3" s="45">
        <v>0.05</v>
      </c>
      <c r="I3" s="45">
        <v>0.05</v>
      </c>
      <c r="J3" s="63">
        <f>I3/H3</f>
        <v>1</v>
      </c>
      <c r="K3" s="45">
        <v>0.3</v>
      </c>
      <c r="L3" s="45">
        <v>0.14000000000000001</v>
      </c>
    </row>
  </sheetData>
  <mergeCells count="6">
    <mergeCell ref="K1:L1"/>
    <mergeCell ref="A1:A2"/>
    <mergeCell ref="B1:B2"/>
    <mergeCell ref="C1:F1"/>
    <mergeCell ref="G1:G2"/>
    <mergeCell ref="H1:J1"/>
  </mergeCells>
  <conditionalFormatting sqref="J3">
    <cfRule type="cellIs" dxfId="20" priority="1" operator="lessThan">
      <formula>0.4</formula>
    </cfRule>
    <cfRule type="cellIs" dxfId="19" priority="2" operator="between">
      <formula>0.4</formula>
      <formula>0.799</formula>
    </cfRule>
    <cfRule type="cellIs" dxfId="18" priority="3" operator="greaterThanOrEqual">
      <formula>0.8</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D3184-49F0-46E0-812F-AB29C2C6F40C}">
  <dimension ref="A1:L3"/>
  <sheetViews>
    <sheetView topLeftCell="B1" workbookViewId="0">
      <selection activeCell="B1" sqref="B1:L3"/>
    </sheetView>
  </sheetViews>
  <sheetFormatPr baseColWidth="10" defaultRowHeight="15" x14ac:dyDescent="0.25"/>
  <cols>
    <col min="1" max="1" width="17.5703125" customWidth="1"/>
    <col min="2" max="2" width="17.7109375" customWidth="1"/>
    <col min="7" max="7" width="23" customWidth="1"/>
    <col min="8" max="8" width="15.7109375" customWidth="1"/>
    <col min="9" max="9" width="17.85546875" customWidth="1"/>
    <col min="10" max="10" width="16.140625" customWidth="1"/>
    <col min="12" max="12" width="17.42578125" customWidth="1"/>
  </cols>
  <sheetData>
    <row r="1" spans="1:12" ht="18" x14ac:dyDescent="0.25">
      <c r="A1" s="435" t="s">
        <v>2</v>
      </c>
      <c r="B1" s="428" t="s">
        <v>1</v>
      </c>
      <c r="C1" s="428" t="s">
        <v>3</v>
      </c>
      <c r="D1" s="428"/>
      <c r="E1" s="428"/>
      <c r="F1" s="428"/>
      <c r="G1" s="428" t="s">
        <v>36</v>
      </c>
      <c r="H1" s="438" t="s">
        <v>17</v>
      </c>
      <c r="I1" s="438"/>
      <c r="J1" s="438"/>
      <c r="K1" s="433" t="s">
        <v>20</v>
      </c>
      <c r="L1" s="434"/>
    </row>
    <row r="2" spans="1:12" ht="72.75" thickBot="1" x14ac:dyDescent="0.3">
      <c r="A2" s="436"/>
      <c r="B2" s="437"/>
      <c r="C2" s="57">
        <v>2019</v>
      </c>
      <c r="D2" s="57">
        <v>2020</v>
      </c>
      <c r="E2" s="57">
        <v>2021</v>
      </c>
      <c r="F2" s="57">
        <v>2022</v>
      </c>
      <c r="G2" s="437"/>
      <c r="H2" s="58" t="s">
        <v>18</v>
      </c>
      <c r="I2" s="59" t="s">
        <v>19</v>
      </c>
      <c r="J2" s="59" t="s">
        <v>24</v>
      </c>
      <c r="K2" s="54" t="s">
        <v>92</v>
      </c>
      <c r="L2" s="55" t="s">
        <v>90</v>
      </c>
    </row>
    <row r="3" spans="1:12" ht="36" x14ac:dyDescent="0.25">
      <c r="A3" s="65" t="s">
        <v>8</v>
      </c>
      <c r="B3" s="67">
        <v>20</v>
      </c>
      <c r="C3" s="67">
        <v>6</v>
      </c>
      <c r="D3" s="67">
        <v>10</v>
      </c>
      <c r="E3" s="67">
        <v>17</v>
      </c>
      <c r="F3" s="67">
        <v>20</v>
      </c>
      <c r="G3" s="64" t="s">
        <v>5</v>
      </c>
      <c r="H3" s="67">
        <v>6</v>
      </c>
      <c r="I3" s="67">
        <v>8</v>
      </c>
      <c r="J3" s="63">
        <f>I3/H3</f>
        <v>1.3333333333333333</v>
      </c>
      <c r="K3" s="66">
        <v>10</v>
      </c>
      <c r="L3" s="66">
        <v>11</v>
      </c>
    </row>
  </sheetData>
  <mergeCells count="6">
    <mergeCell ref="K1:L1"/>
    <mergeCell ref="A1:A2"/>
    <mergeCell ref="B1:B2"/>
    <mergeCell ref="C1:F1"/>
    <mergeCell ref="G1:G2"/>
    <mergeCell ref="H1:J1"/>
  </mergeCells>
  <conditionalFormatting sqref="J3">
    <cfRule type="cellIs" dxfId="17" priority="1" operator="lessThan">
      <formula>0.4</formula>
    </cfRule>
    <cfRule type="cellIs" dxfId="16" priority="2" operator="between">
      <formula>0.4</formula>
      <formula>0.799</formula>
    </cfRule>
    <cfRule type="cellIs" dxfId="15" priority="3" operator="greaterThanOrEqual">
      <formula>0.8</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44C38-61B5-40E0-86D4-D924E37002DE}">
  <dimension ref="A1:K3"/>
  <sheetViews>
    <sheetView workbookViewId="0">
      <selection sqref="A1:K3"/>
    </sheetView>
  </sheetViews>
  <sheetFormatPr baseColWidth="10" defaultRowHeight="15" x14ac:dyDescent="0.25"/>
  <cols>
    <col min="1" max="1" width="19.5703125" customWidth="1"/>
    <col min="6" max="6" width="23.7109375" customWidth="1"/>
    <col min="7" max="7" width="17.140625" customWidth="1"/>
    <col min="8" max="8" width="17.5703125" customWidth="1"/>
    <col min="9" max="9" width="17.140625" customWidth="1"/>
    <col min="11" max="11" width="19.5703125" customWidth="1"/>
  </cols>
  <sheetData>
    <row r="1" spans="1:11" ht="18" x14ac:dyDescent="0.25">
      <c r="A1" s="428" t="s">
        <v>1</v>
      </c>
      <c r="B1" s="428" t="s">
        <v>3</v>
      </c>
      <c r="C1" s="428"/>
      <c r="D1" s="428"/>
      <c r="E1" s="428"/>
      <c r="F1" s="428" t="s">
        <v>36</v>
      </c>
      <c r="G1" s="438" t="s">
        <v>17</v>
      </c>
      <c r="H1" s="438"/>
      <c r="I1" s="438"/>
      <c r="J1" s="433" t="s">
        <v>20</v>
      </c>
      <c r="K1" s="434"/>
    </row>
    <row r="2" spans="1:11" ht="79.5" customHeight="1" thickBot="1" x14ac:dyDescent="0.3">
      <c r="A2" s="437"/>
      <c r="B2" s="57">
        <v>2019</v>
      </c>
      <c r="C2" s="57">
        <v>2020</v>
      </c>
      <c r="D2" s="57">
        <v>2021</v>
      </c>
      <c r="E2" s="57">
        <v>2022</v>
      </c>
      <c r="F2" s="437"/>
      <c r="G2" s="58" t="s">
        <v>18</v>
      </c>
      <c r="H2" s="59" t="s">
        <v>19</v>
      </c>
      <c r="I2" s="59" t="s">
        <v>24</v>
      </c>
      <c r="J2" s="54" t="s">
        <v>92</v>
      </c>
      <c r="K2" s="55" t="s">
        <v>90</v>
      </c>
    </row>
    <row r="3" spans="1:11" ht="25.5" x14ac:dyDescent="0.25">
      <c r="A3" s="67">
        <v>250</v>
      </c>
      <c r="B3" s="67">
        <v>175</v>
      </c>
      <c r="C3" s="67">
        <v>200</v>
      </c>
      <c r="D3" s="67">
        <v>225</v>
      </c>
      <c r="E3" s="67">
        <v>250</v>
      </c>
      <c r="F3" s="65" t="s">
        <v>12</v>
      </c>
      <c r="G3" s="67">
        <v>175</v>
      </c>
      <c r="H3" s="67">
        <v>185</v>
      </c>
      <c r="I3" s="63">
        <f>H3/G3</f>
        <v>1.0571428571428572</v>
      </c>
      <c r="J3" s="66">
        <v>200</v>
      </c>
      <c r="K3" s="66">
        <v>200</v>
      </c>
    </row>
  </sheetData>
  <mergeCells count="5">
    <mergeCell ref="A1:A2"/>
    <mergeCell ref="B1:E1"/>
    <mergeCell ref="F1:F2"/>
    <mergeCell ref="G1:I1"/>
    <mergeCell ref="J1:K1"/>
  </mergeCells>
  <conditionalFormatting sqref="I3">
    <cfRule type="cellIs" dxfId="14" priority="1" operator="lessThan">
      <formula>0.4</formula>
    </cfRule>
    <cfRule type="cellIs" dxfId="13" priority="2" operator="between">
      <formula>0.4</formula>
      <formula>0.799</formula>
    </cfRule>
    <cfRule type="cellIs" dxfId="12" priority="3" operator="greaterThanOrEqual">
      <formula>0.8</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D7B3E-107E-4BB9-A4A7-4AB4D524E564}">
  <dimension ref="A1:L3"/>
  <sheetViews>
    <sheetView topLeftCell="C1" workbookViewId="0">
      <selection sqref="A1:L3"/>
    </sheetView>
  </sheetViews>
  <sheetFormatPr baseColWidth="10" defaultRowHeight="15" x14ac:dyDescent="0.25"/>
  <cols>
    <col min="1" max="1" width="17.28515625" customWidth="1"/>
    <col min="2" max="2" width="18.28515625" customWidth="1"/>
    <col min="7" max="7" width="23.42578125" customWidth="1"/>
    <col min="8" max="8" width="17.28515625" customWidth="1"/>
    <col min="9" max="9" width="16.7109375" customWidth="1"/>
    <col min="10" max="10" width="17.85546875" customWidth="1"/>
    <col min="12" max="12" width="19.5703125" customWidth="1"/>
  </cols>
  <sheetData>
    <row r="1" spans="1:12" ht="18" x14ac:dyDescent="0.25">
      <c r="A1" s="435" t="s">
        <v>2</v>
      </c>
      <c r="B1" s="428" t="s">
        <v>1</v>
      </c>
      <c r="C1" s="428" t="s">
        <v>3</v>
      </c>
      <c r="D1" s="428"/>
      <c r="E1" s="428"/>
      <c r="F1" s="428"/>
      <c r="G1" s="428" t="s">
        <v>36</v>
      </c>
      <c r="H1" s="438" t="s">
        <v>17</v>
      </c>
      <c r="I1" s="438"/>
      <c r="J1" s="438"/>
      <c r="K1" s="433" t="s">
        <v>20</v>
      </c>
      <c r="L1" s="434"/>
    </row>
    <row r="2" spans="1:12" ht="76.5" customHeight="1" thickBot="1" x14ac:dyDescent="0.3">
      <c r="A2" s="436"/>
      <c r="B2" s="437"/>
      <c r="C2" s="57">
        <v>2019</v>
      </c>
      <c r="D2" s="57">
        <v>2020</v>
      </c>
      <c r="E2" s="57">
        <v>2021</v>
      </c>
      <c r="F2" s="57">
        <v>2022</v>
      </c>
      <c r="G2" s="437"/>
      <c r="H2" s="58" t="s">
        <v>18</v>
      </c>
      <c r="I2" s="59" t="s">
        <v>19</v>
      </c>
      <c r="J2" s="59" t="s">
        <v>24</v>
      </c>
      <c r="K2" s="54" t="s">
        <v>92</v>
      </c>
      <c r="L2" s="55" t="s">
        <v>90</v>
      </c>
    </row>
    <row r="3" spans="1:12" ht="36" x14ac:dyDescent="0.25">
      <c r="A3" s="60" t="s">
        <v>4</v>
      </c>
      <c r="B3" s="61">
        <v>1</v>
      </c>
      <c r="C3" s="48">
        <v>3.0000000000000001E-3</v>
      </c>
      <c r="D3" s="48">
        <v>0.19900000000000001</v>
      </c>
      <c r="E3" s="48">
        <v>0.20300000000000001</v>
      </c>
      <c r="F3" s="48">
        <v>0.59399999999999997</v>
      </c>
      <c r="G3" s="62" t="s">
        <v>5</v>
      </c>
      <c r="H3" s="48">
        <v>3.0000000000000001E-3</v>
      </c>
      <c r="I3" s="48">
        <v>3.0000000000000001E-3</v>
      </c>
      <c r="J3" s="63">
        <f>I3/H3</f>
        <v>1</v>
      </c>
      <c r="K3" s="48">
        <v>0.19900000000000001</v>
      </c>
      <c r="L3" s="45">
        <v>0</v>
      </c>
    </row>
  </sheetData>
  <mergeCells count="6">
    <mergeCell ref="K1:L1"/>
    <mergeCell ref="A1:A2"/>
    <mergeCell ref="B1:B2"/>
    <mergeCell ref="C1:F1"/>
    <mergeCell ref="G1:G2"/>
    <mergeCell ref="H1:J1"/>
  </mergeCells>
  <conditionalFormatting sqref="J3">
    <cfRule type="cellIs" dxfId="11" priority="1" operator="lessThan">
      <formula>0.4</formula>
    </cfRule>
    <cfRule type="cellIs" dxfId="10" priority="2" operator="between">
      <formula>0.4</formula>
      <formula>0.799</formula>
    </cfRule>
    <cfRule type="cellIs" dxfId="9" priority="3" operator="greaterThanOrEqual">
      <formula>0.8</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F4D51-291D-420F-8A45-9076F40A0EA1}">
  <dimension ref="A1:H10"/>
  <sheetViews>
    <sheetView topLeftCell="A6" workbookViewId="0">
      <selection activeCell="H7" sqref="H7"/>
    </sheetView>
  </sheetViews>
  <sheetFormatPr baseColWidth="10" defaultRowHeight="15" x14ac:dyDescent="0.25"/>
  <cols>
    <col min="2" max="2" width="31.7109375" customWidth="1"/>
    <col min="3" max="3" width="38" customWidth="1"/>
    <col min="4" max="4" width="23" customWidth="1"/>
  </cols>
  <sheetData>
    <row r="1" spans="1:8" x14ac:dyDescent="0.25">
      <c r="A1" s="392" t="s">
        <v>299</v>
      </c>
      <c r="B1" s="393" t="s">
        <v>0</v>
      </c>
      <c r="C1" s="394" t="s">
        <v>13</v>
      </c>
      <c r="D1" s="394" t="s">
        <v>308</v>
      </c>
    </row>
    <row r="2" spans="1:8" ht="15.75" customHeight="1" x14ac:dyDescent="0.25">
      <c r="A2" s="392"/>
      <c r="B2" s="393"/>
      <c r="C2" s="394"/>
      <c r="D2" s="394"/>
    </row>
    <row r="3" spans="1:8" ht="81" x14ac:dyDescent="0.25">
      <c r="A3" s="296">
        <v>1</v>
      </c>
      <c r="B3" s="297" t="s">
        <v>35</v>
      </c>
      <c r="C3" s="298" t="s">
        <v>272</v>
      </c>
      <c r="D3" s="299" t="s">
        <v>303</v>
      </c>
      <c r="F3">
        <v>172591</v>
      </c>
      <c r="G3">
        <v>183311</v>
      </c>
      <c r="H3">
        <f>G3-F3</f>
        <v>10720</v>
      </c>
    </row>
    <row r="4" spans="1:8" ht="67.5" x14ac:dyDescent="0.25">
      <c r="A4" s="296">
        <v>2</v>
      </c>
      <c r="B4" s="297" t="s">
        <v>35</v>
      </c>
      <c r="C4" s="298" t="s">
        <v>227</v>
      </c>
      <c r="D4" s="299" t="s">
        <v>304</v>
      </c>
      <c r="F4">
        <v>14262</v>
      </c>
      <c r="G4">
        <v>17223</v>
      </c>
      <c r="H4">
        <f>G4-F4</f>
        <v>2961</v>
      </c>
    </row>
    <row r="5" spans="1:8" ht="148.5" x14ac:dyDescent="0.25">
      <c r="A5" s="296">
        <v>3</v>
      </c>
      <c r="B5" s="297" t="s">
        <v>35</v>
      </c>
      <c r="C5" s="298" t="s">
        <v>273</v>
      </c>
      <c r="D5" s="299" t="s">
        <v>305</v>
      </c>
      <c r="F5">
        <v>76339</v>
      </c>
      <c r="G5">
        <v>82454</v>
      </c>
      <c r="H5">
        <f>G5-F5</f>
        <v>6115</v>
      </c>
    </row>
    <row r="6" spans="1:8" ht="108" x14ac:dyDescent="0.25">
      <c r="A6" s="296">
        <v>4</v>
      </c>
      <c r="B6" s="300" t="s">
        <v>34</v>
      </c>
      <c r="C6" s="298" t="s">
        <v>271</v>
      </c>
      <c r="D6" s="301" t="s">
        <v>306</v>
      </c>
      <c r="F6">
        <v>180647</v>
      </c>
      <c r="G6">
        <v>181834</v>
      </c>
      <c r="H6">
        <f>G6-F6</f>
        <v>1187</v>
      </c>
    </row>
    <row r="7" spans="1:8" ht="108" x14ac:dyDescent="0.25">
      <c r="A7" s="296">
        <v>5</v>
      </c>
      <c r="B7" s="297" t="s">
        <v>35</v>
      </c>
      <c r="C7" s="298" t="s">
        <v>15</v>
      </c>
      <c r="D7" s="302" t="s">
        <v>307</v>
      </c>
      <c r="F7">
        <v>1630</v>
      </c>
      <c r="G7">
        <v>1932</v>
      </c>
      <c r="H7">
        <f>G7-F7</f>
        <v>302</v>
      </c>
    </row>
    <row r="8" spans="1:8" ht="94.5" x14ac:dyDescent="0.25">
      <c r="A8" s="296">
        <v>6</v>
      </c>
      <c r="B8" s="297" t="s">
        <v>35</v>
      </c>
      <c r="C8" s="303" t="s">
        <v>9</v>
      </c>
      <c r="D8" s="302" t="s">
        <v>300</v>
      </c>
    </row>
    <row r="9" spans="1:8" ht="94.5" x14ac:dyDescent="0.25">
      <c r="A9" s="296">
        <v>7</v>
      </c>
      <c r="B9" s="297" t="s">
        <v>35</v>
      </c>
      <c r="C9" s="304" t="s">
        <v>11</v>
      </c>
      <c r="D9" s="302" t="s">
        <v>301</v>
      </c>
    </row>
    <row r="10" spans="1:8" ht="121.5" x14ac:dyDescent="0.25">
      <c r="A10" s="296">
        <v>8</v>
      </c>
      <c r="B10" s="301" t="s">
        <v>298</v>
      </c>
      <c r="C10" s="301" t="s">
        <v>46</v>
      </c>
      <c r="D10" s="302" t="s">
        <v>302</v>
      </c>
    </row>
  </sheetData>
  <mergeCells count="4">
    <mergeCell ref="A1:A2"/>
    <mergeCell ref="B1:B2"/>
    <mergeCell ref="C1:C2"/>
    <mergeCell ref="D1: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BA815-BD4E-4912-A315-D119CAD04744}">
  <dimension ref="A1:CC30"/>
  <sheetViews>
    <sheetView showGridLines="0" topLeftCell="BC1" zoomScale="70" zoomScaleNormal="70" workbookViewId="0">
      <pane ySplit="3" topLeftCell="A4" activePane="bottomLeft" state="frozen"/>
      <selection pane="bottomLeft" activeCell="BE4" sqref="BE4"/>
    </sheetView>
  </sheetViews>
  <sheetFormatPr baseColWidth="10" defaultColWidth="11.42578125" defaultRowHeight="15" x14ac:dyDescent="0.2"/>
  <cols>
    <col min="1" max="1" width="43.42578125" style="1" hidden="1" customWidth="1"/>
    <col min="2" max="2" width="44.7109375" style="1" customWidth="1"/>
    <col min="3" max="3" width="34.42578125" style="1" customWidth="1"/>
    <col min="4" max="4" width="46.28515625" style="1" customWidth="1"/>
    <col min="5" max="5" width="19" style="1" customWidth="1"/>
    <col min="6" max="6" width="18.5703125" style="1" customWidth="1"/>
    <col min="7" max="7" width="16.7109375" style="1" customWidth="1"/>
    <col min="8" max="8" width="16.85546875" style="1" customWidth="1"/>
    <col min="9" max="9" width="32.42578125" style="1" customWidth="1"/>
    <col min="10" max="10" width="37.28515625" style="1" customWidth="1"/>
    <col min="11" max="11" width="22.28515625" style="1" customWidth="1"/>
    <col min="12" max="12" width="28" style="1" customWidth="1"/>
    <col min="13" max="13" width="21" style="3" hidden="1" customWidth="1"/>
    <col min="14" max="14" width="25.5703125" style="3" hidden="1" customWidth="1"/>
    <col min="15" max="15" width="28.140625" style="3" hidden="1" customWidth="1"/>
    <col min="16" max="16" width="72.7109375" style="3" hidden="1" customWidth="1"/>
    <col min="17" max="17" width="20.5703125" style="144" hidden="1" customWidth="1"/>
    <col min="18" max="18" width="28.140625" style="144" hidden="1" customWidth="1"/>
    <col min="19" max="19" width="28" style="144" hidden="1" customWidth="1"/>
    <col min="20" max="20" width="32.7109375" style="144" hidden="1" customWidth="1"/>
    <col min="21" max="21" width="71" style="3" hidden="1" customWidth="1"/>
    <col min="22" max="23" width="32.7109375" style="3" hidden="1" customWidth="1"/>
    <col min="24" max="24" width="72.7109375" style="3" hidden="1" customWidth="1"/>
    <col min="25" max="25" width="34" style="3" hidden="1" customWidth="1"/>
    <col min="26" max="26" width="30.7109375" style="3" hidden="1" customWidth="1"/>
    <col min="27" max="27" width="102.42578125" style="3" hidden="1" customWidth="1"/>
    <col min="28" max="28" width="25.7109375" style="3" hidden="1" customWidth="1"/>
    <col min="29" max="29" width="27.42578125" style="3" hidden="1" customWidth="1"/>
    <col min="30" max="30" width="112" style="3" hidden="1" customWidth="1"/>
    <col min="31" max="31" width="34.85546875" style="3" hidden="1" customWidth="1"/>
    <col min="32" max="32" width="36.5703125" style="3" hidden="1" customWidth="1"/>
    <col min="33" max="33" width="87.5703125" style="3" hidden="1" customWidth="1"/>
    <col min="34" max="35" width="31.42578125" style="3" hidden="1" customWidth="1"/>
    <col min="36" max="36" width="134.28515625" style="3" hidden="1" customWidth="1"/>
    <col min="37" max="37" width="36.42578125" style="3" hidden="1" customWidth="1"/>
    <col min="38" max="38" width="28.28515625" style="3" hidden="1" customWidth="1"/>
    <col min="39" max="39" width="98.7109375" style="3" hidden="1" customWidth="1"/>
    <col min="40" max="40" width="40" style="3" hidden="1" customWidth="1"/>
    <col min="41" max="41" width="45.42578125" style="3" hidden="1" customWidth="1"/>
    <col min="42" max="42" width="98.7109375" style="3" hidden="1" customWidth="1"/>
    <col min="43" max="43" width="50" style="3" hidden="1" customWidth="1"/>
    <col min="44" max="44" width="38.140625" style="3" hidden="1" customWidth="1"/>
    <col min="45" max="45" width="98.7109375" style="3" hidden="1" customWidth="1"/>
    <col min="46" max="46" width="27.85546875" style="3" customWidth="1"/>
    <col min="47" max="47" width="34.140625" style="3" customWidth="1"/>
    <col min="48" max="48" width="35.42578125" style="3" customWidth="1"/>
    <col min="49" max="49" width="45.28515625" style="3" customWidth="1"/>
    <col min="50" max="50" width="52.42578125" style="3" customWidth="1"/>
    <col min="51" max="51" width="107.5703125" style="3" hidden="1" customWidth="1"/>
    <col min="52" max="52" width="37" style="3" customWidth="1"/>
    <col min="53" max="53" width="36.28515625" style="3" customWidth="1"/>
    <col min="54" max="54" width="50.5703125" style="3" customWidth="1"/>
    <col min="55" max="56" width="44.5703125" style="3" customWidth="1"/>
    <col min="57" max="57" width="39.5703125" style="3" customWidth="1"/>
    <col min="58" max="58" width="40.5703125" style="3" customWidth="1"/>
    <col min="59" max="59" width="49.140625" style="3" customWidth="1"/>
    <col min="60" max="81" width="11.42578125" style="3"/>
    <col min="82" max="16384" width="11.42578125" style="1"/>
  </cols>
  <sheetData>
    <row r="1" spans="1:61" ht="178.5" hidden="1" customHeight="1" thickBot="1" x14ac:dyDescent="0.25">
      <c r="A1" s="372" t="s">
        <v>44</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c r="AV1" s="373"/>
      <c r="AW1" s="373"/>
      <c r="AX1" s="373"/>
      <c r="AY1" s="373"/>
      <c r="AZ1" s="203"/>
      <c r="BA1" s="203"/>
      <c r="BB1" s="203"/>
      <c r="BC1" s="203"/>
      <c r="BD1" s="203"/>
      <c r="BE1" s="203"/>
      <c r="BF1" s="203"/>
    </row>
    <row r="2" spans="1:61" ht="44.25" customHeight="1" thickBot="1" x14ac:dyDescent="0.25">
      <c r="A2" s="395" t="s">
        <v>0</v>
      </c>
      <c r="B2" s="375" t="s">
        <v>13</v>
      </c>
      <c r="C2" s="375" t="s">
        <v>2</v>
      </c>
      <c r="D2" s="396" t="s">
        <v>86</v>
      </c>
      <c r="E2" s="397" t="s">
        <v>3</v>
      </c>
      <c r="F2" s="398"/>
      <c r="G2" s="398"/>
      <c r="H2" s="399"/>
      <c r="I2" s="400" t="s">
        <v>36</v>
      </c>
      <c r="J2" s="402" t="s">
        <v>62</v>
      </c>
      <c r="K2" s="402" t="s">
        <v>102</v>
      </c>
      <c r="L2" s="402" t="s">
        <v>101</v>
      </c>
      <c r="M2" s="403" t="s">
        <v>17</v>
      </c>
      <c r="N2" s="403"/>
      <c r="O2" s="403"/>
      <c r="P2" s="404"/>
      <c r="Q2" s="204" t="s">
        <v>134</v>
      </c>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409" t="s">
        <v>193</v>
      </c>
      <c r="AU2" s="411" t="s">
        <v>20</v>
      </c>
      <c r="AV2" s="412"/>
      <c r="AW2" s="412"/>
      <c r="AX2" s="412"/>
      <c r="AY2" s="413"/>
      <c r="AZ2" s="406" t="s">
        <v>204</v>
      </c>
      <c r="BA2" s="407"/>
      <c r="BB2" s="407"/>
      <c r="BC2" s="407"/>
      <c r="BD2" s="407"/>
      <c r="BE2" s="407"/>
      <c r="BF2" s="408"/>
      <c r="BG2" s="405" t="s">
        <v>32</v>
      </c>
    </row>
    <row r="3" spans="1:61" ht="73.5" customHeight="1" thickBot="1" x14ac:dyDescent="0.25">
      <c r="A3" s="371"/>
      <c r="B3" s="376"/>
      <c r="C3" s="376"/>
      <c r="D3" s="396"/>
      <c r="E3" s="221">
        <v>2019</v>
      </c>
      <c r="F3" s="222">
        <v>2020</v>
      </c>
      <c r="G3" s="222">
        <v>2021</v>
      </c>
      <c r="H3" s="223">
        <v>2022</v>
      </c>
      <c r="I3" s="401"/>
      <c r="J3" s="376"/>
      <c r="K3" s="376"/>
      <c r="L3" s="376"/>
      <c r="M3" s="232" t="s">
        <v>18</v>
      </c>
      <c r="N3" s="233" t="s">
        <v>19</v>
      </c>
      <c r="O3" s="233" t="s">
        <v>24</v>
      </c>
      <c r="P3" s="193" t="s">
        <v>25</v>
      </c>
      <c r="Q3" s="194" t="s">
        <v>87</v>
      </c>
      <c r="R3" s="195" t="s">
        <v>88</v>
      </c>
      <c r="S3" s="195" t="s">
        <v>49</v>
      </c>
      <c r="T3" s="195" t="s">
        <v>21</v>
      </c>
      <c r="U3" s="196" t="s">
        <v>50</v>
      </c>
      <c r="V3" s="195" t="s">
        <v>51</v>
      </c>
      <c r="W3" s="195" t="s">
        <v>52</v>
      </c>
      <c r="X3" s="196" t="s">
        <v>53</v>
      </c>
      <c r="Y3" s="195" t="s">
        <v>71</v>
      </c>
      <c r="Z3" s="195" t="s">
        <v>72</v>
      </c>
      <c r="AA3" s="197" t="s">
        <v>73</v>
      </c>
      <c r="AB3" s="198" t="s">
        <v>89</v>
      </c>
      <c r="AC3" s="195" t="s">
        <v>90</v>
      </c>
      <c r="AD3" s="195" t="s">
        <v>91</v>
      </c>
      <c r="AE3" s="198" t="s">
        <v>103</v>
      </c>
      <c r="AF3" s="195" t="s">
        <v>104</v>
      </c>
      <c r="AG3" s="199" t="s">
        <v>112</v>
      </c>
      <c r="AH3" s="199" t="s">
        <v>115</v>
      </c>
      <c r="AI3" s="199" t="s">
        <v>114</v>
      </c>
      <c r="AJ3" s="200" t="s">
        <v>113</v>
      </c>
      <c r="AK3" s="199" t="s">
        <v>123</v>
      </c>
      <c r="AL3" s="199" t="s">
        <v>124</v>
      </c>
      <c r="AM3" s="200" t="s">
        <v>125</v>
      </c>
      <c r="AN3" s="199" t="s">
        <v>135</v>
      </c>
      <c r="AO3" s="199" t="s">
        <v>136</v>
      </c>
      <c r="AP3" s="200" t="s">
        <v>137</v>
      </c>
      <c r="AQ3" s="199" t="s">
        <v>148</v>
      </c>
      <c r="AR3" s="199" t="s">
        <v>146</v>
      </c>
      <c r="AS3" s="200" t="s">
        <v>147</v>
      </c>
      <c r="AT3" s="410"/>
      <c r="AU3" s="230" t="s">
        <v>158</v>
      </c>
      <c r="AV3" s="231" t="s">
        <v>156</v>
      </c>
      <c r="AW3" s="206" t="s">
        <v>159</v>
      </c>
      <c r="AX3" s="206" t="s">
        <v>189</v>
      </c>
      <c r="AY3" s="200" t="s">
        <v>157</v>
      </c>
      <c r="AZ3" s="201" t="s">
        <v>194</v>
      </c>
      <c r="BA3" s="201" t="s">
        <v>198</v>
      </c>
      <c r="BB3" s="201" t="s">
        <v>196</v>
      </c>
      <c r="BC3" s="201" t="s">
        <v>199</v>
      </c>
      <c r="BD3" s="201" t="s">
        <v>201</v>
      </c>
      <c r="BE3" s="201" t="s">
        <v>197</v>
      </c>
      <c r="BF3" s="201" t="s">
        <v>203</v>
      </c>
      <c r="BG3" s="405"/>
    </row>
    <row r="4" spans="1:61" ht="210" customHeight="1" x14ac:dyDescent="0.2">
      <c r="A4" s="21" t="s">
        <v>35</v>
      </c>
      <c r="B4" s="220" t="s">
        <v>16</v>
      </c>
      <c r="C4" s="44" t="s">
        <v>4</v>
      </c>
      <c r="D4" s="33" t="s">
        <v>83</v>
      </c>
      <c r="E4" s="45">
        <v>0.03</v>
      </c>
      <c r="F4" s="46">
        <v>0.23</v>
      </c>
      <c r="G4" s="46">
        <v>0.5</v>
      </c>
      <c r="H4" s="46">
        <v>0.6</v>
      </c>
      <c r="I4" s="47" t="s">
        <v>23</v>
      </c>
      <c r="J4" s="71" t="s">
        <v>63</v>
      </c>
      <c r="K4" s="30">
        <v>0.6</v>
      </c>
      <c r="L4" s="30" t="s">
        <v>68</v>
      </c>
      <c r="M4" s="48">
        <v>0.03</v>
      </c>
      <c r="N4" s="49">
        <v>0.03</v>
      </c>
      <c r="O4" s="163">
        <f t="shared" ref="O4:O11" si="0">N4/M4</f>
        <v>1</v>
      </c>
      <c r="P4" s="161" t="s">
        <v>26</v>
      </c>
      <c r="Q4" s="152">
        <f>23%-N4</f>
        <v>0.2</v>
      </c>
      <c r="R4" s="145">
        <v>20253667.789999999</v>
      </c>
      <c r="S4" s="145">
        <v>0</v>
      </c>
      <c r="T4" s="163">
        <f>S4/20%</f>
        <v>0</v>
      </c>
      <c r="U4" s="72" t="s">
        <v>37</v>
      </c>
      <c r="V4" s="145">
        <v>34421</v>
      </c>
      <c r="W4" s="168">
        <f>V4/R4</f>
        <v>1.6994946474334367E-3</v>
      </c>
      <c r="X4" s="72" t="s">
        <v>58</v>
      </c>
      <c r="Y4" s="158">
        <v>101437</v>
      </c>
      <c r="Z4" s="169">
        <f>Y4/R4</f>
        <v>5.0083274324309434E-3</v>
      </c>
      <c r="AA4" s="68" t="s">
        <v>75</v>
      </c>
      <c r="AB4" s="158">
        <v>102037</v>
      </c>
      <c r="AC4" s="169">
        <f>AB4/R4</f>
        <v>5.0379516963529698E-3</v>
      </c>
      <c r="AD4" s="78" t="s">
        <v>94</v>
      </c>
      <c r="AE4" s="158">
        <v>1805376</v>
      </c>
      <c r="AF4" s="169">
        <f>AE4/R4</f>
        <v>8.913822517081979E-2</v>
      </c>
      <c r="AG4" s="78" t="s">
        <v>107</v>
      </c>
      <c r="AH4" s="147">
        <v>4784680</v>
      </c>
      <c r="AI4" s="169">
        <f>AH4/R4</f>
        <v>0.23623770517073345</v>
      </c>
      <c r="AJ4" s="79" t="s">
        <v>117</v>
      </c>
      <c r="AK4" s="181">
        <v>6037259.96</v>
      </c>
      <c r="AL4" s="169">
        <f>+AK4/R4</f>
        <v>0.29808230403486835</v>
      </c>
      <c r="AM4" s="79" t="s">
        <v>128</v>
      </c>
      <c r="AN4" s="181">
        <v>7415231.2000000002</v>
      </c>
      <c r="AO4" s="169">
        <f>+AN4/R4</f>
        <v>0.36611794351940441</v>
      </c>
      <c r="AP4" s="143" t="s">
        <v>142</v>
      </c>
      <c r="AQ4" s="182">
        <v>7918051.8399999999</v>
      </c>
      <c r="AR4" s="83">
        <f>+AQ4/R4</f>
        <v>0.39094409576074124</v>
      </c>
      <c r="AS4" s="143" t="s">
        <v>154</v>
      </c>
      <c r="AT4" s="228" t="s">
        <v>195</v>
      </c>
      <c r="AU4" s="208">
        <v>13418129</v>
      </c>
      <c r="AV4" s="183">
        <f>+AU4/R4</f>
        <v>0.66250365805965461</v>
      </c>
      <c r="AW4" s="185">
        <v>16841027.100000001</v>
      </c>
      <c r="AX4" s="167">
        <f>+AW4/26242218.77</f>
        <v>0.64175317062948189</v>
      </c>
      <c r="AY4" s="78" t="s">
        <v>205</v>
      </c>
      <c r="AZ4" s="226">
        <f>20%-11.76%</f>
        <v>8.2400000000000015E-2</v>
      </c>
      <c r="BA4" s="227">
        <v>9401191.6699999999</v>
      </c>
      <c r="BB4" s="226">
        <v>8.2400000000000001E-2</v>
      </c>
      <c r="BC4" s="227">
        <v>9401191.6699999999</v>
      </c>
      <c r="BD4" s="226">
        <f>60%-14.76%</f>
        <v>0.45239999999999997</v>
      </c>
      <c r="BE4" s="226">
        <f>27%+AZ4</f>
        <v>0.35240000000000005</v>
      </c>
      <c r="BF4" s="227">
        <v>40207274.57</v>
      </c>
      <c r="BG4" s="100" t="s">
        <v>206</v>
      </c>
      <c r="BH4" s="93"/>
      <c r="BI4" s="85"/>
    </row>
    <row r="5" spans="1:61" ht="150.75" customHeight="1" x14ac:dyDescent="0.2">
      <c r="A5" s="21" t="s">
        <v>35</v>
      </c>
      <c r="B5" s="10" t="s">
        <v>14</v>
      </c>
      <c r="C5" s="4" t="s">
        <v>4</v>
      </c>
      <c r="D5" s="33" t="s">
        <v>83</v>
      </c>
      <c r="E5" s="8">
        <v>8.5000000000000006E-2</v>
      </c>
      <c r="F5" s="8">
        <v>0.20100000000000001</v>
      </c>
      <c r="G5" s="8">
        <v>0.35099999999999998</v>
      </c>
      <c r="H5" s="5">
        <v>0.6</v>
      </c>
      <c r="I5" s="142" t="s">
        <v>5</v>
      </c>
      <c r="J5" s="70" t="s">
        <v>64</v>
      </c>
      <c r="K5" s="30">
        <v>0.6</v>
      </c>
      <c r="L5" s="30" t="s">
        <v>68</v>
      </c>
      <c r="M5" s="8">
        <f t="shared" ref="M5:M10" si="1">+E5</f>
        <v>8.5000000000000006E-2</v>
      </c>
      <c r="N5" s="8">
        <v>2.3E-2</v>
      </c>
      <c r="O5" s="164">
        <f t="shared" si="0"/>
        <v>0.27058823529411763</v>
      </c>
      <c r="P5" s="162" t="s">
        <v>27</v>
      </c>
      <c r="Q5" s="153">
        <f>+F5-N5</f>
        <v>0.17800000000000002</v>
      </c>
      <c r="R5" s="146">
        <v>7512863</v>
      </c>
      <c r="S5" s="146">
        <v>0</v>
      </c>
      <c r="T5" s="165">
        <f t="shared" ref="T5:T11" si="2">S5/R5</f>
        <v>0</v>
      </c>
      <c r="U5" s="17" t="s">
        <v>38</v>
      </c>
      <c r="V5" s="146">
        <v>0</v>
      </c>
      <c r="W5" s="165">
        <f>V5/R5</f>
        <v>0</v>
      </c>
      <c r="X5" s="17" t="s">
        <v>59</v>
      </c>
      <c r="Y5" s="148">
        <v>0</v>
      </c>
      <c r="Z5" s="170">
        <f t="shared" ref="Z5:Z11" si="3">Y5/R5</f>
        <v>0</v>
      </c>
      <c r="AA5" s="68" t="s">
        <v>82</v>
      </c>
      <c r="AB5" s="147">
        <v>0</v>
      </c>
      <c r="AC5" s="173">
        <f t="shared" ref="AC5:AC11" si="4">AB5/R5</f>
        <v>0</v>
      </c>
      <c r="AD5" s="78" t="s">
        <v>95</v>
      </c>
      <c r="AE5" s="147">
        <v>0</v>
      </c>
      <c r="AF5" s="173">
        <f>AE5/R5</f>
        <v>0</v>
      </c>
      <c r="AG5" s="78" t="s">
        <v>106</v>
      </c>
      <c r="AH5" s="158">
        <v>0</v>
      </c>
      <c r="AI5" s="169">
        <f>AH5/R5</f>
        <v>0</v>
      </c>
      <c r="AJ5" s="78" t="s">
        <v>119</v>
      </c>
      <c r="AK5" s="158">
        <v>0</v>
      </c>
      <c r="AL5" s="169">
        <v>0</v>
      </c>
      <c r="AM5" s="78" t="s">
        <v>130</v>
      </c>
      <c r="AN5" s="158">
        <v>0</v>
      </c>
      <c r="AO5" s="169">
        <v>0</v>
      </c>
      <c r="AP5" s="143" t="s">
        <v>144</v>
      </c>
      <c r="AQ5" s="158">
        <v>0</v>
      </c>
      <c r="AR5" s="83">
        <v>0</v>
      </c>
      <c r="AS5" s="143" t="s">
        <v>152</v>
      </c>
      <c r="AT5" s="207">
        <f>+M5-N5</f>
        <v>6.2000000000000006E-2</v>
      </c>
      <c r="AU5" s="209" t="s">
        <v>188</v>
      </c>
      <c r="AV5" s="78" t="s">
        <v>188</v>
      </c>
      <c r="AW5" s="78" t="s">
        <v>188</v>
      </c>
      <c r="AX5" s="78" t="s">
        <v>188</v>
      </c>
      <c r="AY5" s="78" t="s">
        <v>187</v>
      </c>
      <c r="AZ5" s="218"/>
      <c r="BA5" s="218"/>
      <c r="BB5" s="218"/>
      <c r="BC5" s="218"/>
      <c r="BD5" s="218"/>
      <c r="BE5" s="218"/>
      <c r="BF5" s="218"/>
      <c r="BG5" s="190" t="s">
        <v>192</v>
      </c>
    </row>
    <row r="6" spans="1:61" ht="231" customHeight="1" x14ac:dyDescent="0.2">
      <c r="A6" s="21" t="s">
        <v>35</v>
      </c>
      <c r="B6" s="10" t="s">
        <v>6</v>
      </c>
      <c r="C6" s="16" t="s">
        <v>4</v>
      </c>
      <c r="D6" s="33" t="s">
        <v>83</v>
      </c>
      <c r="E6" s="5">
        <v>0.23</v>
      </c>
      <c r="F6" s="5">
        <v>0.37</v>
      </c>
      <c r="G6" s="5">
        <v>0.49</v>
      </c>
      <c r="H6" s="5">
        <v>0.6</v>
      </c>
      <c r="I6" s="32" t="s">
        <v>23</v>
      </c>
      <c r="J6" s="33" t="s">
        <v>65</v>
      </c>
      <c r="K6" s="7">
        <v>0.6</v>
      </c>
      <c r="L6" s="7" t="s">
        <v>68</v>
      </c>
      <c r="M6" s="8">
        <f t="shared" si="1"/>
        <v>0.23</v>
      </c>
      <c r="N6" s="8">
        <v>0.23</v>
      </c>
      <c r="O6" s="165">
        <f t="shared" si="0"/>
        <v>1</v>
      </c>
      <c r="P6" s="17" t="s">
        <v>31</v>
      </c>
      <c r="Q6" s="153">
        <f>37%-N6</f>
        <v>0.13999999999999999</v>
      </c>
      <c r="R6" s="154">
        <v>15973524.470000001</v>
      </c>
      <c r="S6" s="154">
        <v>12368</v>
      </c>
      <c r="T6" s="167">
        <f>S6/R6</f>
        <v>7.7428121910279952E-4</v>
      </c>
      <c r="U6" s="17" t="s">
        <v>39</v>
      </c>
      <c r="V6" s="148">
        <v>75374</v>
      </c>
      <c r="W6" s="167">
        <f>V6/R6</f>
        <v>4.7186831022521351E-3</v>
      </c>
      <c r="X6" s="17" t="s">
        <v>57</v>
      </c>
      <c r="Y6" s="147">
        <v>43006</v>
      </c>
      <c r="Z6" s="171">
        <f t="shared" si="3"/>
        <v>2.6923300540697766E-3</v>
      </c>
      <c r="AA6" s="39" t="s">
        <v>78</v>
      </c>
      <c r="AB6" s="147">
        <v>168576</v>
      </c>
      <c r="AC6" s="173">
        <f t="shared" si="4"/>
        <v>1.0553463032945789E-2</v>
      </c>
      <c r="AD6" s="39" t="s">
        <v>96</v>
      </c>
      <c r="AE6" s="158">
        <v>7114924.2199999997</v>
      </c>
      <c r="AF6" s="173">
        <f>AE6/R6</f>
        <v>0.44541980909489287</v>
      </c>
      <c r="AG6" s="78" t="s">
        <v>108</v>
      </c>
      <c r="AH6" s="158">
        <v>7362927</v>
      </c>
      <c r="AI6" s="169">
        <f>AH6/R6</f>
        <v>0.46094567381346363</v>
      </c>
      <c r="AJ6" s="78" t="s">
        <v>118</v>
      </c>
      <c r="AK6" s="181">
        <v>7362927.5</v>
      </c>
      <c r="AL6" s="169">
        <f>+AK6/R6</f>
        <v>0.46094570511525934</v>
      </c>
      <c r="AM6" s="78" t="s">
        <v>129</v>
      </c>
      <c r="AN6" s="181">
        <v>7906008.1799999997</v>
      </c>
      <c r="AO6" s="169">
        <f>+AN6/R6</f>
        <v>0.49494450613252788</v>
      </c>
      <c r="AP6" s="90" t="s">
        <v>143</v>
      </c>
      <c r="AQ6" s="182">
        <v>8784660.1699999999</v>
      </c>
      <c r="AR6" s="83">
        <f>+AQ6/R6</f>
        <v>0.54995127634471264</v>
      </c>
      <c r="AS6" s="90" t="s">
        <v>155</v>
      </c>
      <c r="AT6" s="69" t="s">
        <v>195</v>
      </c>
      <c r="AU6" s="210">
        <v>16231703.439999999</v>
      </c>
      <c r="AV6" s="184">
        <f>+AU6/R6</f>
        <v>1.0161629307598887</v>
      </c>
      <c r="AW6" s="185">
        <v>42473922.210000001</v>
      </c>
      <c r="AX6" s="184">
        <f>+AW6/42215743.24</f>
        <v>1.006115703531079</v>
      </c>
      <c r="AY6" s="88" t="s">
        <v>207</v>
      </c>
      <c r="AZ6" s="216" t="s">
        <v>195</v>
      </c>
      <c r="BA6" s="216" t="s">
        <v>195</v>
      </c>
      <c r="BB6" s="216" t="s">
        <v>195</v>
      </c>
      <c r="BC6" s="216" t="s">
        <v>195</v>
      </c>
      <c r="BD6" s="216">
        <f>60-37.23</f>
        <v>22.770000000000003</v>
      </c>
      <c r="BE6" s="225">
        <v>0.12</v>
      </c>
      <c r="BF6" s="227">
        <v>13691592.4</v>
      </c>
      <c r="BG6" s="43" t="s">
        <v>208</v>
      </c>
    </row>
    <row r="7" spans="1:61" ht="214.5" customHeight="1" x14ac:dyDescent="0.2">
      <c r="A7" s="9" t="s">
        <v>34</v>
      </c>
      <c r="B7" s="10" t="s">
        <v>7</v>
      </c>
      <c r="C7" s="4" t="s">
        <v>4</v>
      </c>
      <c r="D7" s="33" t="s">
        <v>85</v>
      </c>
      <c r="E7" s="8">
        <v>3.0999999999999999E-3</v>
      </c>
      <c r="F7" s="8">
        <v>0.19900000000000001</v>
      </c>
      <c r="G7" s="8">
        <v>0.20300000000000001</v>
      </c>
      <c r="H7" s="8">
        <v>0.59399999999999997</v>
      </c>
      <c r="I7" s="32" t="s">
        <v>22</v>
      </c>
      <c r="J7" s="33" t="s">
        <v>64</v>
      </c>
      <c r="K7" s="7">
        <v>1</v>
      </c>
      <c r="L7" s="7" t="s">
        <v>69</v>
      </c>
      <c r="M7" s="8">
        <f t="shared" si="1"/>
        <v>3.0999999999999999E-3</v>
      </c>
      <c r="N7" s="14">
        <v>3.0999999999999999E-3</v>
      </c>
      <c r="O7" s="165">
        <f t="shared" si="0"/>
        <v>1</v>
      </c>
      <c r="P7" s="18" t="s">
        <v>28</v>
      </c>
      <c r="Q7" s="153">
        <f>19.9%-N7</f>
        <v>0.19589999999999999</v>
      </c>
      <c r="R7" s="146">
        <v>999718</v>
      </c>
      <c r="S7" s="148">
        <v>0</v>
      </c>
      <c r="T7" s="165">
        <f t="shared" si="2"/>
        <v>0</v>
      </c>
      <c r="U7" s="17" t="s">
        <v>40</v>
      </c>
      <c r="V7" s="148">
        <v>0</v>
      </c>
      <c r="W7" s="165">
        <f>V7/R7</f>
        <v>0</v>
      </c>
      <c r="X7" s="17" t="s">
        <v>60</v>
      </c>
      <c r="Y7" s="148">
        <v>0</v>
      </c>
      <c r="Z7" s="170">
        <f t="shared" si="3"/>
        <v>0</v>
      </c>
      <c r="AA7" s="39" t="s">
        <v>81</v>
      </c>
      <c r="AB7" s="147">
        <v>0</v>
      </c>
      <c r="AC7" s="173">
        <f>AB7/R7</f>
        <v>0</v>
      </c>
      <c r="AD7" s="39" t="s">
        <v>81</v>
      </c>
      <c r="AE7" s="147">
        <v>0</v>
      </c>
      <c r="AF7" s="173">
        <f>+AE7/R7</f>
        <v>0</v>
      </c>
      <c r="AG7" s="17" t="s">
        <v>81</v>
      </c>
      <c r="AH7" s="147">
        <v>0</v>
      </c>
      <c r="AI7" s="169">
        <f>AH7/R7</f>
        <v>0</v>
      </c>
      <c r="AJ7" s="17" t="s">
        <v>81</v>
      </c>
      <c r="AK7" s="147">
        <v>0</v>
      </c>
      <c r="AL7" s="169">
        <v>0</v>
      </c>
      <c r="AM7" s="82" t="s">
        <v>131</v>
      </c>
      <c r="AN7" s="158">
        <v>0</v>
      </c>
      <c r="AO7" s="169">
        <f>+AN7/R7</f>
        <v>0</v>
      </c>
      <c r="AP7" s="89" t="s">
        <v>140</v>
      </c>
      <c r="AQ7" s="158">
        <v>0</v>
      </c>
      <c r="AR7" s="83">
        <f>+AQ7/R7</f>
        <v>0</v>
      </c>
      <c r="AS7" s="94" t="s">
        <v>140</v>
      </c>
      <c r="AT7" s="69" t="s">
        <v>195</v>
      </c>
      <c r="AU7" s="211" t="s">
        <v>188</v>
      </c>
      <c r="AV7" s="75" t="s">
        <v>188</v>
      </c>
      <c r="AW7" s="75" t="s">
        <v>188</v>
      </c>
      <c r="AX7" s="75" t="s">
        <v>188</v>
      </c>
      <c r="AY7" s="78" t="s">
        <v>187</v>
      </c>
      <c r="AZ7" s="219"/>
      <c r="BA7" s="219"/>
      <c r="BB7" s="219"/>
      <c r="BC7" s="219"/>
      <c r="BD7" s="219"/>
      <c r="BE7" s="219"/>
      <c r="BF7" s="219"/>
      <c r="BG7" s="190" t="s">
        <v>192</v>
      </c>
    </row>
    <row r="8" spans="1:61" ht="331.5" customHeight="1" x14ac:dyDescent="0.2">
      <c r="A8" s="21" t="s">
        <v>35</v>
      </c>
      <c r="B8" s="10" t="s">
        <v>15</v>
      </c>
      <c r="C8" s="16" t="s">
        <v>4</v>
      </c>
      <c r="D8" s="33" t="s">
        <v>84</v>
      </c>
      <c r="E8" s="5">
        <v>0.05</v>
      </c>
      <c r="F8" s="5">
        <v>0.3</v>
      </c>
      <c r="G8" s="5">
        <v>0.6</v>
      </c>
      <c r="H8" s="5">
        <v>1</v>
      </c>
      <c r="I8" s="31" t="s">
        <v>45</v>
      </c>
      <c r="J8" s="33" t="s">
        <v>66</v>
      </c>
      <c r="K8" s="34">
        <v>1</v>
      </c>
      <c r="L8" s="34" t="s">
        <v>70</v>
      </c>
      <c r="M8" s="5">
        <f t="shared" si="1"/>
        <v>0.05</v>
      </c>
      <c r="N8" s="5">
        <v>0.05</v>
      </c>
      <c r="O8" s="165">
        <f t="shared" si="0"/>
        <v>1</v>
      </c>
      <c r="P8" s="18" t="s">
        <v>33</v>
      </c>
      <c r="Q8" s="149">
        <f>30%-N8</f>
        <v>0.25</v>
      </c>
      <c r="R8" s="149">
        <v>0.25</v>
      </c>
      <c r="S8" s="149">
        <v>0.04</v>
      </c>
      <c r="T8" s="165">
        <f>S8/R8</f>
        <v>0.16</v>
      </c>
      <c r="U8" s="17" t="s">
        <v>41</v>
      </c>
      <c r="V8" s="149">
        <v>7.0000000000000007E-2</v>
      </c>
      <c r="W8" s="165">
        <f>V8/R8</f>
        <v>0.28000000000000003</v>
      </c>
      <c r="X8" s="17" t="s">
        <v>56</v>
      </c>
      <c r="Y8" s="149">
        <v>0.11</v>
      </c>
      <c r="Z8" s="170">
        <f t="shared" si="3"/>
        <v>0.44</v>
      </c>
      <c r="AA8" s="40" t="s">
        <v>77</v>
      </c>
      <c r="AB8" s="149">
        <v>0.14000000000000001</v>
      </c>
      <c r="AC8" s="170">
        <f t="shared" si="4"/>
        <v>0.56000000000000005</v>
      </c>
      <c r="AD8" s="39" t="s">
        <v>97</v>
      </c>
      <c r="AE8" s="175">
        <v>0.15</v>
      </c>
      <c r="AF8" s="170">
        <f>AE8/R8</f>
        <v>0.6</v>
      </c>
      <c r="AG8" s="17" t="s">
        <v>109</v>
      </c>
      <c r="AH8" s="151">
        <v>0.15</v>
      </c>
      <c r="AI8" s="169">
        <f>AH8/R8</f>
        <v>0.6</v>
      </c>
      <c r="AJ8" s="17" t="s">
        <v>121</v>
      </c>
      <c r="AK8" s="151">
        <v>0.15</v>
      </c>
      <c r="AL8" s="169">
        <v>0.5</v>
      </c>
      <c r="AM8" s="80" t="s">
        <v>126</v>
      </c>
      <c r="AN8" s="179">
        <v>0.15</v>
      </c>
      <c r="AO8" s="169">
        <v>0.5</v>
      </c>
      <c r="AP8" s="88" t="s">
        <v>139</v>
      </c>
      <c r="AQ8" s="160">
        <v>0.15</v>
      </c>
      <c r="AR8" s="83">
        <v>0.5</v>
      </c>
      <c r="AS8" s="90" t="s">
        <v>151</v>
      </c>
      <c r="AT8" s="69" t="s">
        <v>195</v>
      </c>
      <c r="AU8" s="212">
        <v>0.15</v>
      </c>
      <c r="AV8" s="169">
        <f>+AU8/30%</f>
        <v>0.5</v>
      </c>
      <c r="AW8" s="186">
        <v>0.2</v>
      </c>
      <c r="AX8" s="169">
        <f>+AW8/30%</f>
        <v>0.66666666666666674</v>
      </c>
      <c r="AY8" s="94" t="s">
        <v>183</v>
      </c>
      <c r="AZ8" s="229">
        <f>25%-15%</f>
        <v>0.1</v>
      </c>
      <c r="BA8" s="217" t="s">
        <v>200</v>
      </c>
      <c r="BB8" s="229">
        <f>30%-20%</f>
        <v>9.9999999999999978E-2</v>
      </c>
      <c r="BC8" s="217" t="s">
        <v>200</v>
      </c>
      <c r="BD8" s="229">
        <f>100%-20%</f>
        <v>0.8</v>
      </c>
      <c r="BE8" s="229">
        <v>0.4</v>
      </c>
      <c r="BF8" s="217" t="s">
        <v>200</v>
      </c>
      <c r="BG8" s="141" t="s">
        <v>184</v>
      </c>
    </row>
    <row r="9" spans="1:61" ht="240" x14ac:dyDescent="0.2">
      <c r="A9" s="21" t="s">
        <v>35</v>
      </c>
      <c r="B9" s="32" t="s">
        <v>9</v>
      </c>
      <c r="C9" s="20" t="s">
        <v>10</v>
      </c>
      <c r="D9" s="33" t="s">
        <v>84</v>
      </c>
      <c r="E9" s="16">
        <v>6</v>
      </c>
      <c r="F9" s="16">
        <v>10</v>
      </c>
      <c r="G9" s="16">
        <v>17</v>
      </c>
      <c r="H9" s="16">
        <v>20</v>
      </c>
      <c r="I9" s="6" t="s">
        <v>22</v>
      </c>
      <c r="J9" s="33" t="s">
        <v>64</v>
      </c>
      <c r="K9" s="20">
        <v>20</v>
      </c>
      <c r="L9" s="20">
        <v>20</v>
      </c>
      <c r="M9" s="13">
        <f t="shared" si="1"/>
        <v>6</v>
      </c>
      <c r="N9" s="13">
        <v>8</v>
      </c>
      <c r="O9" s="165">
        <f t="shared" si="0"/>
        <v>1.3333333333333333</v>
      </c>
      <c r="P9" s="17" t="s">
        <v>29</v>
      </c>
      <c r="Q9" s="155">
        <f>10-E9</f>
        <v>4</v>
      </c>
      <c r="R9" s="150">
        <v>4</v>
      </c>
      <c r="S9" s="150">
        <v>1</v>
      </c>
      <c r="T9" s="165">
        <f>S9/4</f>
        <v>0.25</v>
      </c>
      <c r="U9" s="17" t="s">
        <v>42</v>
      </c>
      <c r="V9" s="150">
        <v>2</v>
      </c>
      <c r="W9" s="165">
        <f>V9/4</f>
        <v>0.5</v>
      </c>
      <c r="X9" s="17" t="s">
        <v>55</v>
      </c>
      <c r="Y9" s="150">
        <v>2</v>
      </c>
      <c r="Z9" s="170">
        <f>Y9/4</f>
        <v>0.5</v>
      </c>
      <c r="AA9" s="39" t="s">
        <v>80</v>
      </c>
      <c r="AB9" s="155">
        <v>3</v>
      </c>
      <c r="AC9" s="170">
        <f>AB9/4</f>
        <v>0.75</v>
      </c>
      <c r="AD9" s="43" t="s">
        <v>98</v>
      </c>
      <c r="AE9" s="176">
        <v>3</v>
      </c>
      <c r="AF9" s="170">
        <f>AE9/4</f>
        <v>0.75</v>
      </c>
      <c r="AG9" s="78" t="s">
        <v>105</v>
      </c>
      <c r="AH9" s="150">
        <v>5</v>
      </c>
      <c r="AI9" s="169">
        <f>AH9/4</f>
        <v>1.25</v>
      </c>
      <c r="AJ9" s="17" t="s">
        <v>120</v>
      </c>
      <c r="AK9" s="178">
        <v>8</v>
      </c>
      <c r="AL9" s="169">
        <f>+AK9/4</f>
        <v>2</v>
      </c>
      <c r="AM9" s="17" t="s">
        <v>132</v>
      </c>
      <c r="AN9" s="178">
        <v>8</v>
      </c>
      <c r="AO9" s="169">
        <f>+AN9/R9</f>
        <v>2</v>
      </c>
      <c r="AP9" s="88" t="s">
        <v>141</v>
      </c>
      <c r="AQ9" s="159">
        <v>9</v>
      </c>
      <c r="AR9" s="83">
        <f>+AQ9/R9</f>
        <v>2.25</v>
      </c>
      <c r="AS9" s="94" t="s">
        <v>153</v>
      </c>
      <c r="AT9" s="69" t="s">
        <v>195</v>
      </c>
      <c r="AU9" s="213">
        <v>11</v>
      </c>
      <c r="AV9" s="169">
        <f>+AU9/R9</f>
        <v>2.75</v>
      </c>
      <c r="AW9" s="187">
        <f>11+8</f>
        <v>19</v>
      </c>
      <c r="AX9" s="169">
        <f>+AW9/20</f>
        <v>0.95</v>
      </c>
      <c r="AY9" s="89" t="s">
        <v>186</v>
      </c>
      <c r="AZ9" s="216" t="s">
        <v>195</v>
      </c>
      <c r="BA9" s="216" t="s">
        <v>200</v>
      </c>
      <c r="BB9" s="216" t="s">
        <v>195</v>
      </c>
      <c r="BC9" s="216" t="s">
        <v>200</v>
      </c>
      <c r="BD9" s="216">
        <v>1</v>
      </c>
      <c r="BE9" s="216" t="s">
        <v>195</v>
      </c>
      <c r="BF9" s="216" t="s">
        <v>200</v>
      </c>
      <c r="BG9" s="43" t="s">
        <v>185</v>
      </c>
    </row>
    <row r="10" spans="1:61" ht="409.5" customHeight="1" x14ac:dyDescent="0.2">
      <c r="A10" s="22" t="s">
        <v>35</v>
      </c>
      <c r="B10" s="76" t="s">
        <v>11</v>
      </c>
      <c r="C10" s="16" t="s">
        <v>8</v>
      </c>
      <c r="D10" s="33" t="s">
        <v>84</v>
      </c>
      <c r="E10" s="77">
        <v>175</v>
      </c>
      <c r="F10" s="77">
        <v>200</v>
      </c>
      <c r="G10" s="77">
        <v>225</v>
      </c>
      <c r="H10" s="35">
        <v>250</v>
      </c>
      <c r="I10" s="36" t="s">
        <v>12</v>
      </c>
      <c r="J10" s="38" t="s">
        <v>67</v>
      </c>
      <c r="K10" s="37">
        <v>250</v>
      </c>
      <c r="L10" s="37">
        <v>250</v>
      </c>
      <c r="M10" s="23">
        <f t="shared" si="1"/>
        <v>175</v>
      </c>
      <c r="N10" s="23">
        <v>185</v>
      </c>
      <c r="O10" s="166">
        <f t="shared" si="0"/>
        <v>1.0571428571428572</v>
      </c>
      <c r="P10" s="24" t="s">
        <v>30</v>
      </c>
      <c r="Q10" s="156">
        <f>200-E10</f>
        <v>25</v>
      </c>
      <c r="R10" s="157">
        <v>25</v>
      </c>
      <c r="S10" s="147">
        <v>0</v>
      </c>
      <c r="T10" s="166">
        <f>S10/25</f>
        <v>0</v>
      </c>
      <c r="U10" s="24" t="s">
        <v>43</v>
      </c>
      <c r="V10" s="147">
        <v>0</v>
      </c>
      <c r="W10" s="166">
        <f>V10/25</f>
        <v>0</v>
      </c>
      <c r="X10" s="24" t="s">
        <v>54</v>
      </c>
      <c r="Y10" s="147">
        <v>0</v>
      </c>
      <c r="Z10" s="172">
        <f>Y10/25</f>
        <v>0</v>
      </c>
      <c r="AA10" s="41" t="s">
        <v>79</v>
      </c>
      <c r="AB10" s="150">
        <v>15</v>
      </c>
      <c r="AC10" s="170">
        <f>AB10/25</f>
        <v>0.6</v>
      </c>
      <c r="AD10" s="41" t="s">
        <v>99</v>
      </c>
      <c r="AE10" s="174">
        <v>33</v>
      </c>
      <c r="AF10" s="170">
        <f>AE10/25</f>
        <v>1.32</v>
      </c>
      <c r="AG10" s="17" t="s">
        <v>111</v>
      </c>
      <c r="AH10" s="150">
        <v>55</v>
      </c>
      <c r="AI10" s="170">
        <f>AH10/25</f>
        <v>2.2000000000000002</v>
      </c>
      <c r="AJ10" s="17" t="s">
        <v>116</v>
      </c>
      <c r="AK10" s="178">
        <v>77</v>
      </c>
      <c r="AL10" s="170">
        <f>+AK10/25</f>
        <v>3.08</v>
      </c>
      <c r="AM10" s="17" t="s">
        <v>127</v>
      </c>
      <c r="AN10" s="178">
        <v>117</v>
      </c>
      <c r="AO10" s="170">
        <f>+AN10/25</f>
        <v>4.68</v>
      </c>
      <c r="AP10" s="91" t="s">
        <v>145</v>
      </c>
      <c r="AQ10" s="159">
        <v>150</v>
      </c>
      <c r="AR10" s="84">
        <f>+AQ10/25</f>
        <v>6</v>
      </c>
      <c r="AS10" s="90" t="s">
        <v>149</v>
      </c>
      <c r="AT10" s="69" t="s">
        <v>195</v>
      </c>
      <c r="AU10" s="214">
        <f>150+37</f>
        <v>187</v>
      </c>
      <c r="AV10" s="170">
        <f>+AU10/25</f>
        <v>7.48</v>
      </c>
      <c r="AW10" s="187">
        <v>372</v>
      </c>
      <c r="AX10" s="170">
        <f>+AW10/200</f>
        <v>1.86</v>
      </c>
      <c r="AY10" s="88" t="s">
        <v>209</v>
      </c>
      <c r="AZ10" s="216" t="s">
        <v>195</v>
      </c>
      <c r="BA10" s="216" t="s">
        <v>200</v>
      </c>
      <c r="BB10" s="216" t="s">
        <v>195</v>
      </c>
      <c r="BC10" s="216" t="s">
        <v>200</v>
      </c>
      <c r="BD10" s="216" t="s">
        <v>202</v>
      </c>
      <c r="BE10" s="216" t="s">
        <v>195</v>
      </c>
      <c r="BF10" s="216" t="s">
        <v>200</v>
      </c>
      <c r="BG10" s="43" t="s">
        <v>210</v>
      </c>
    </row>
    <row r="11" spans="1:61" ht="233.25" customHeight="1" x14ac:dyDescent="0.2">
      <c r="A11" s="25" t="s">
        <v>74</v>
      </c>
      <c r="B11" s="25" t="s">
        <v>46</v>
      </c>
      <c r="C11" s="26" t="s">
        <v>4</v>
      </c>
      <c r="D11" s="26"/>
      <c r="E11" s="27">
        <v>0.1</v>
      </c>
      <c r="F11" s="235">
        <v>0.3</v>
      </c>
      <c r="G11" s="27">
        <v>0.3</v>
      </c>
      <c r="H11" s="27">
        <v>0.3</v>
      </c>
      <c r="I11" s="11" t="s">
        <v>12</v>
      </c>
      <c r="J11" s="33" t="s">
        <v>67</v>
      </c>
      <c r="K11" s="28">
        <v>1</v>
      </c>
      <c r="L11" s="28">
        <v>1</v>
      </c>
      <c r="M11" s="28">
        <v>0.1</v>
      </c>
      <c r="N11" s="28">
        <v>0.1</v>
      </c>
      <c r="O11" s="165">
        <f t="shared" si="0"/>
        <v>1</v>
      </c>
      <c r="P11" s="17" t="s">
        <v>47</v>
      </c>
      <c r="Q11" s="151">
        <v>0.3</v>
      </c>
      <c r="R11" s="151">
        <v>0.3</v>
      </c>
      <c r="S11" s="151">
        <v>0.01</v>
      </c>
      <c r="T11" s="166">
        <f t="shared" si="2"/>
        <v>3.3333333333333333E-2</v>
      </c>
      <c r="U11" s="17" t="s">
        <v>48</v>
      </c>
      <c r="V11" s="149">
        <v>0.02</v>
      </c>
      <c r="W11" s="165">
        <f>V11/R11</f>
        <v>6.6666666666666666E-2</v>
      </c>
      <c r="X11" s="17" t="s">
        <v>61</v>
      </c>
      <c r="Y11" s="149">
        <v>0.05</v>
      </c>
      <c r="Z11" s="165">
        <f t="shared" si="3"/>
        <v>0.16666666666666669</v>
      </c>
      <c r="AA11" s="17" t="s">
        <v>76</v>
      </c>
      <c r="AB11" s="151">
        <v>0.06</v>
      </c>
      <c r="AC11" s="165">
        <f t="shared" si="4"/>
        <v>0.2</v>
      </c>
      <c r="AD11" s="17" t="s">
        <v>100</v>
      </c>
      <c r="AE11" s="177">
        <v>0.09</v>
      </c>
      <c r="AF11" s="165">
        <f>AE11/R11</f>
        <v>0.3</v>
      </c>
      <c r="AG11" s="17" t="s">
        <v>110</v>
      </c>
      <c r="AH11" s="177">
        <v>0.16</v>
      </c>
      <c r="AI11" s="170">
        <f>AH11/R11</f>
        <v>0.53333333333333333</v>
      </c>
      <c r="AJ11" s="17" t="s">
        <v>122</v>
      </c>
      <c r="AK11" s="177">
        <v>0.21</v>
      </c>
      <c r="AL11" s="170">
        <f>+AK11/R11</f>
        <v>0.7</v>
      </c>
      <c r="AM11" s="17" t="s">
        <v>133</v>
      </c>
      <c r="AN11" s="180">
        <v>0.23499999999999999</v>
      </c>
      <c r="AO11" s="170">
        <f>+AN11/R11</f>
        <v>0.78333333333333333</v>
      </c>
      <c r="AP11" s="17" t="s">
        <v>138</v>
      </c>
      <c r="AQ11" s="140">
        <v>0.27</v>
      </c>
      <c r="AR11" s="84">
        <f>+AQ11/R11</f>
        <v>0.90000000000000013</v>
      </c>
      <c r="AS11" s="162" t="s">
        <v>150</v>
      </c>
      <c r="AT11" s="69" t="s">
        <v>195</v>
      </c>
      <c r="AU11" s="215">
        <v>0.3</v>
      </c>
      <c r="AV11" s="170">
        <f>+AU11/R11</f>
        <v>1</v>
      </c>
      <c r="AW11" s="188">
        <v>0.4</v>
      </c>
      <c r="AX11" s="189">
        <f>+AW11/100%</f>
        <v>0.4</v>
      </c>
      <c r="AY11" s="162" t="s">
        <v>191</v>
      </c>
      <c r="AZ11" s="216" t="s">
        <v>195</v>
      </c>
      <c r="BA11" s="216" t="s">
        <v>200</v>
      </c>
      <c r="BB11" s="216" t="s">
        <v>195</v>
      </c>
      <c r="BC11" s="216" t="s">
        <v>200</v>
      </c>
      <c r="BD11" s="224">
        <v>0.6</v>
      </c>
      <c r="BE11" s="216" t="s">
        <v>195</v>
      </c>
      <c r="BF11" s="216" t="s">
        <v>200</v>
      </c>
      <c r="BG11" s="43" t="s">
        <v>190</v>
      </c>
    </row>
    <row r="12" spans="1:61" ht="17.25" customHeight="1" x14ac:dyDescent="0.2">
      <c r="A12" s="367"/>
      <c r="B12" s="367"/>
      <c r="C12" s="367"/>
      <c r="D12" s="367"/>
      <c r="E12" s="2"/>
      <c r="F12" s="2"/>
      <c r="G12" s="2"/>
      <c r="H12" s="2"/>
      <c r="I12" s="2"/>
      <c r="J12" s="2"/>
      <c r="K12" s="2"/>
      <c r="L12" s="2"/>
      <c r="AE12" s="85"/>
      <c r="AI12" s="85"/>
      <c r="AK12" s="86"/>
      <c r="AY12" s="85"/>
      <c r="AZ12" s="85"/>
      <c r="BA12" s="85"/>
      <c r="BB12" s="85"/>
      <c r="BC12" s="85"/>
      <c r="BD12" s="85"/>
      <c r="BE12" s="85"/>
      <c r="BF12" s="85"/>
    </row>
    <row r="13" spans="1:61" ht="23.25" customHeight="1" x14ac:dyDescent="0.2">
      <c r="A13" s="367"/>
      <c r="B13" s="367"/>
      <c r="C13" s="202"/>
      <c r="D13" s="202"/>
      <c r="E13" s="234"/>
      <c r="F13" s="234"/>
      <c r="G13" s="2"/>
      <c r="H13" s="2"/>
      <c r="I13" s="81"/>
      <c r="J13" s="2"/>
      <c r="K13" s="2"/>
      <c r="L13" s="2"/>
      <c r="AI13" s="85"/>
      <c r="AK13" s="85"/>
      <c r="AN13" s="87"/>
      <c r="AU13" s="122"/>
    </row>
    <row r="14" spans="1:61" x14ac:dyDescent="0.2">
      <c r="A14" s="2"/>
      <c r="B14" s="2"/>
      <c r="C14" s="2"/>
      <c r="D14" s="2"/>
      <c r="E14" s="2"/>
      <c r="F14" s="2"/>
      <c r="G14" s="2"/>
      <c r="H14" s="2"/>
      <c r="I14" s="2"/>
      <c r="J14" s="2"/>
      <c r="K14" s="2"/>
      <c r="L14" s="2"/>
      <c r="AK14" s="85"/>
    </row>
    <row r="15" spans="1:61" x14ac:dyDescent="0.2">
      <c r="B15" s="2"/>
      <c r="C15" s="2"/>
      <c r="D15" s="2"/>
      <c r="E15" s="2"/>
      <c r="F15" s="92"/>
      <c r="G15" s="2"/>
      <c r="H15" s="2"/>
      <c r="I15" s="2"/>
      <c r="J15" s="2"/>
      <c r="K15" s="2"/>
      <c r="L15" s="2"/>
    </row>
    <row r="16" spans="1:61" x14ac:dyDescent="0.2">
      <c r="B16" s="2"/>
      <c r="C16" s="2"/>
      <c r="D16" s="2"/>
      <c r="E16" s="2"/>
      <c r="F16" s="2"/>
      <c r="G16" s="2"/>
      <c r="H16" s="2"/>
      <c r="I16" s="2"/>
      <c r="J16" s="2"/>
      <c r="K16" s="2"/>
      <c r="L16" s="2"/>
    </row>
    <row r="17" spans="2:50" x14ac:dyDescent="0.2">
      <c r="B17" s="2"/>
      <c r="C17" s="2"/>
      <c r="D17" s="2"/>
      <c r="E17" s="2"/>
      <c r="F17" s="2"/>
      <c r="G17" s="2"/>
      <c r="H17" s="2"/>
      <c r="I17" s="2"/>
      <c r="J17" s="2"/>
      <c r="K17" s="2"/>
      <c r="L17" s="2"/>
    </row>
    <row r="18" spans="2:50" x14ac:dyDescent="0.2">
      <c r="B18" s="2"/>
      <c r="C18" s="2"/>
      <c r="D18" s="2"/>
      <c r="E18" s="2"/>
      <c r="F18" s="2"/>
      <c r="G18" s="2"/>
      <c r="H18" s="2"/>
      <c r="I18" s="2"/>
      <c r="J18" s="2"/>
      <c r="K18" s="2"/>
      <c r="L18" s="2"/>
      <c r="AW18" s="96"/>
      <c r="AX18" s="85"/>
    </row>
    <row r="22" spans="2:50" x14ac:dyDescent="0.2">
      <c r="AU22" s="93"/>
    </row>
    <row r="24" spans="2:50" ht="15.75" x14ac:dyDescent="0.25">
      <c r="AV24" s="98"/>
      <c r="AW24" s="99"/>
    </row>
    <row r="29" spans="2:50" x14ac:dyDescent="0.2">
      <c r="AW29" s="97"/>
    </row>
    <row r="30" spans="2:50" x14ac:dyDescent="0.2">
      <c r="AW30" s="97"/>
    </row>
  </sheetData>
  <autoFilter ref="A3:CC11" xr:uid="{FBA426BB-B208-4DEC-9429-EBB874B0174E}"/>
  <mergeCells count="17">
    <mergeCell ref="BG2:BG3"/>
    <mergeCell ref="A12:D12"/>
    <mergeCell ref="A13:B13"/>
    <mergeCell ref="AZ2:BF2"/>
    <mergeCell ref="AT2:AT3"/>
    <mergeCell ref="AU2:AY2"/>
    <mergeCell ref="A1:AY1"/>
    <mergeCell ref="A2:A3"/>
    <mergeCell ref="B2:B3"/>
    <mergeCell ref="C2:C3"/>
    <mergeCell ref="D2:D3"/>
    <mergeCell ref="E2:H2"/>
    <mergeCell ref="I2:I3"/>
    <mergeCell ref="J2:J3"/>
    <mergeCell ref="K2:K3"/>
    <mergeCell ref="L2:L3"/>
    <mergeCell ref="M2:P2"/>
  </mergeCells>
  <conditionalFormatting sqref="O4:O11 T10:T11">
    <cfRule type="cellIs" dxfId="173" priority="142" operator="lessThan">
      <formula>0.4</formula>
    </cfRule>
    <cfRule type="cellIs" dxfId="172" priority="143" operator="between">
      <formula>0.4</formula>
      <formula>0.799</formula>
    </cfRule>
    <cfRule type="cellIs" dxfId="171" priority="144" operator="greaterThanOrEqual">
      <formula>0.8</formula>
    </cfRule>
  </conditionalFormatting>
  <conditionalFormatting sqref="T9">
    <cfRule type="cellIs" dxfId="170" priority="139" operator="lessThan">
      <formula>0.4</formula>
    </cfRule>
    <cfRule type="cellIs" dxfId="169" priority="140" operator="between">
      <formula>0.4</formula>
      <formula>0.799</formula>
    </cfRule>
    <cfRule type="cellIs" dxfId="168" priority="141" operator="greaterThanOrEqual">
      <formula>0.8</formula>
    </cfRule>
  </conditionalFormatting>
  <conditionalFormatting sqref="Z4:Z5">
    <cfRule type="cellIs" dxfId="167" priority="136" operator="lessThan">
      <formula>0.4</formula>
    </cfRule>
    <cfRule type="cellIs" dxfId="166" priority="137" operator="between">
      <formula>0.4</formula>
      <formula>0.799</formula>
    </cfRule>
    <cfRule type="cellIs" dxfId="165" priority="138" operator="greaterThanOrEqual">
      <formula>0.8</formula>
    </cfRule>
  </conditionalFormatting>
  <conditionalFormatting sqref="T6:T8">
    <cfRule type="cellIs" dxfId="164" priority="133" operator="lessThan">
      <formula>0.4</formula>
    </cfRule>
    <cfRule type="cellIs" dxfId="163" priority="134" operator="between">
      <formula>0.4</formula>
      <formula>0.799</formula>
    </cfRule>
    <cfRule type="cellIs" dxfId="162" priority="135" operator="greaterThanOrEqual">
      <formula>0.8</formula>
    </cfRule>
  </conditionalFormatting>
  <conditionalFormatting sqref="W6:W11">
    <cfRule type="cellIs" dxfId="161" priority="130" operator="lessThan">
      <formula>0.4</formula>
    </cfRule>
    <cfRule type="cellIs" dxfId="160" priority="131" operator="between">
      <formula>0.4</formula>
      <formula>0.799</formula>
    </cfRule>
    <cfRule type="cellIs" dxfId="159" priority="132" operator="greaterThanOrEqual">
      <formula>0.8</formula>
    </cfRule>
  </conditionalFormatting>
  <conditionalFormatting sqref="Z6:Z11">
    <cfRule type="cellIs" dxfId="158" priority="127" operator="lessThan">
      <formula>0.4</formula>
    </cfRule>
    <cfRule type="cellIs" dxfId="157" priority="128" operator="between">
      <formula>0.4</formula>
      <formula>0.799</formula>
    </cfRule>
    <cfRule type="cellIs" dxfId="156" priority="129" operator="greaterThanOrEqual">
      <formula>0.8</formula>
    </cfRule>
  </conditionalFormatting>
  <conditionalFormatting sqref="T4:T5">
    <cfRule type="cellIs" dxfId="155" priority="124" operator="lessThan">
      <formula>0.4</formula>
    </cfRule>
    <cfRule type="cellIs" dxfId="154" priority="125" operator="between">
      <formula>0.4</formula>
      <formula>0.799</formula>
    </cfRule>
    <cfRule type="cellIs" dxfId="153" priority="126" operator="greaterThanOrEqual">
      <formula>0.8</formula>
    </cfRule>
  </conditionalFormatting>
  <conditionalFormatting sqref="W4:W5">
    <cfRule type="cellIs" dxfId="152" priority="121" operator="lessThan">
      <formula>0.4</formula>
    </cfRule>
    <cfRule type="cellIs" dxfId="151" priority="122" operator="between">
      <formula>0.4</formula>
      <formula>0.799</formula>
    </cfRule>
    <cfRule type="cellIs" dxfId="150" priority="123" operator="greaterThanOrEqual">
      <formula>0.8</formula>
    </cfRule>
  </conditionalFormatting>
  <conditionalFormatting sqref="AC4:AC11">
    <cfRule type="cellIs" dxfId="149" priority="118" operator="lessThan">
      <formula>0.4</formula>
    </cfRule>
    <cfRule type="cellIs" dxfId="148" priority="119" operator="between">
      <formula>0.4</formula>
      <formula>0.799</formula>
    </cfRule>
    <cfRule type="cellIs" dxfId="147" priority="120" operator="greaterThanOrEqual">
      <formula>0.8</formula>
    </cfRule>
  </conditionalFormatting>
  <conditionalFormatting sqref="AF9">
    <cfRule type="cellIs" dxfId="146" priority="115" operator="lessThan">
      <formula>0.4</formula>
    </cfRule>
    <cfRule type="cellIs" dxfId="145" priority="116" operator="between">
      <formula>0.4</formula>
      <formula>0.799</formula>
    </cfRule>
    <cfRule type="cellIs" dxfId="144" priority="117" operator="greaterThanOrEqual">
      <formula>0.8</formula>
    </cfRule>
  </conditionalFormatting>
  <conditionalFormatting sqref="AF7">
    <cfRule type="cellIs" dxfId="143" priority="112" operator="lessThan">
      <formula>0.4</formula>
    </cfRule>
    <cfRule type="cellIs" dxfId="142" priority="113" operator="between">
      <formula>0.4</formula>
      <formula>0.799</formula>
    </cfRule>
    <cfRule type="cellIs" dxfId="141" priority="114" operator="greaterThanOrEqual">
      <formula>0.8</formula>
    </cfRule>
  </conditionalFormatting>
  <conditionalFormatting sqref="AF5:AF6">
    <cfRule type="cellIs" dxfId="140" priority="109" operator="lessThan">
      <formula>0.4</formula>
    </cfRule>
    <cfRule type="cellIs" dxfId="139" priority="110" operator="between">
      <formula>0.4</formula>
      <formula>0.799</formula>
    </cfRule>
    <cfRule type="cellIs" dxfId="138" priority="111" operator="greaterThanOrEqual">
      <formula>0.8</formula>
    </cfRule>
  </conditionalFormatting>
  <conditionalFormatting sqref="AF4">
    <cfRule type="cellIs" dxfId="137" priority="106" operator="lessThan">
      <formula>0.4</formula>
    </cfRule>
    <cfRule type="cellIs" dxfId="136" priority="107" operator="between">
      <formula>0.4</formula>
      <formula>0.799</formula>
    </cfRule>
    <cfRule type="cellIs" dxfId="135" priority="108" operator="greaterThanOrEqual">
      <formula>0.8</formula>
    </cfRule>
  </conditionalFormatting>
  <conditionalFormatting sqref="AF8">
    <cfRule type="cellIs" dxfId="134" priority="103" operator="lessThan">
      <formula>0.4</formula>
    </cfRule>
    <cfRule type="cellIs" dxfId="133" priority="104" operator="between">
      <formula>0.4</formula>
      <formula>0.799</formula>
    </cfRule>
    <cfRule type="cellIs" dxfId="132" priority="105" operator="greaterThanOrEqual">
      <formula>0.8</formula>
    </cfRule>
  </conditionalFormatting>
  <conditionalFormatting sqref="AF11">
    <cfRule type="cellIs" dxfId="131" priority="100" operator="lessThan">
      <formula>0.4</formula>
    </cfRule>
    <cfRule type="cellIs" dxfId="130" priority="101" operator="between">
      <formula>0.4</formula>
      <formula>0.799</formula>
    </cfRule>
    <cfRule type="cellIs" dxfId="129" priority="102" operator="greaterThanOrEqual">
      <formula>0.8</formula>
    </cfRule>
  </conditionalFormatting>
  <conditionalFormatting sqref="AF10">
    <cfRule type="cellIs" dxfId="128" priority="97" operator="lessThan">
      <formula>0.4</formula>
    </cfRule>
    <cfRule type="cellIs" dxfId="127" priority="98" operator="between">
      <formula>0.4</formula>
      <formula>0.799</formula>
    </cfRule>
    <cfRule type="cellIs" dxfId="126" priority="99" operator="greaterThanOrEqual">
      <formula>0.8</formula>
    </cfRule>
  </conditionalFormatting>
  <conditionalFormatting sqref="AI10:AI11">
    <cfRule type="cellIs" dxfId="125" priority="94" operator="lessThan">
      <formula>0.4</formula>
    </cfRule>
    <cfRule type="cellIs" dxfId="124" priority="95" operator="between">
      <formula>0.4</formula>
      <formula>0.799</formula>
    </cfRule>
    <cfRule type="cellIs" dxfId="123" priority="96" operator="greaterThanOrEqual">
      <formula>0.8</formula>
    </cfRule>
  </conditionalFormatting>
  <conditionalFormatting sqref="AI4:AI9">
    <cfRule type="cellIs" dxfId="122" priority="91" operator="lessThan">
      <formula>0.4</formula>
    </cfRule>
    <cfRule type="cellIs" dxfId="121" priority="92" operator="between">
      <formula>0.4</formula>
      <formula>0.799</formula>
    </cfRule>
    <cfRule type="cellIs" dxfId="120" priority="93" operator="greaterThanOrEqual">
      <formula>0.8</formula>
    </cfRule>
  </conditionalFormatting>
  <conditionalFormatting sqref="AL8">
    <cfRule type="cellIs" dxfId="119" priority="88" operator="lessThan">
      <formula>0.4</formula>
    </cfRule>
    <cfRule type="cellIs" dxfId="118" priority="89" operator="between">
      <formula>0.4</formula>
      <formula>0.799</formula>
    </cfRule>
    <cfRule type="cellIs" dxfId="117" priority="90" operator="greaterThanOrEqual">
      <formula>0.8</formula>
    </cfRule>
  </conditionalFormatting>
  <conditionalFormatting sqref="AL10">
    <cfRule type="cellIs" dxfId="116" priority="85" operator="lessThan">
      <formula>0.4</formula>
    </cfRule>
    <cfRule type="cellIs" dxfId="115" priority="86" operator="between">
      <formula>0.4</formula>
      <formula>0.799</formula>
    </cfRule>
    <cfRule type="cellIs" dxfId="114" priority="87" operator="greaterThanOrEqual">
      <formula>0.8</formula>
    </cfRule>
  </conditionalFormatting>
  <conditionalFormatting sqref="AL4">
    <cfRule type="cellIs" dxfId="113" priority="82" operator="lessThan">
      <formula>0.4</formula>
    </cfRule>
    <cfRule type="cellIs" dxfId="112" priority="83" operator="between">
      <formula>0.4</formula>
      <formula>0.799</formula>
    </cfRule>
    <cfRule type="cellIs" dxfId="111" priority="84" operator="greaterThanOrEqual">
      <formula>0.8</formula>
    </cfRule>
  </conditionalFormatting>
  <conditionalFormatting sqref="AL6">
    <cfRule type="cellIs" dxfId="110" priority="79" operator="lessThan">
      <formula>0.4</formula>
    </cfRule>
    <cfRule type="cellIs" dxfId="109" priority="80" operator="between">
      <formula>0.4</formula>
      <formula>0.799</formula>
    </cfRule>
    <cfRule type="cellIs" dxfId="108" priority="81" operator="greaterThanOrEqual">
      <formula>0.8</formula>
    </cfRule>
  </conditionalFormatting>
  <conditionalFormatting sqref="AL5">
    <cfRule type="cellIs" dxfId="107" priority="76" operator="lessThan">
      <formula>0.4</formula>
    </cfRule>
    <cfRule type="cellIs" dxfId="106" priority="77" operator="between">
      <formula>0.4</formula>
      <formula>0.799</formula>
    </cfRule>
    <cfRule type="cellIs" dxfId="105" priority="78" operator="greaterThanOrEqual">
      <formula>0.8</formula>
    </cfRule>
  </conditionalFormatting>
  <conditionalFormatting sqref="AL7">
    <cfRule type="cellIs" dxfId="104" priority="73" operator="lessThan">
      <formula>0.4</formula>
    </cfRule>
    <cfRule type="cellIs" dxfId="103" priority="74" operator="between">
      <formula>0.4</formula>
      <formula>0.799</formula>
    </cfRule>
    <cfRule type="cellIs" dxfId="102" priority="75" operator="greaterThanOrEqual">
      <formula>0.8</formula>
    </cfRule>
  </conditionalFormatting>
  <conditionalFormatting sqref="AL9">
    <cfRule type="cellIs" dxfId="101" priority="70" operator="lessThan">
      <formula>0.4</formula>
    </cfRule>
    <cfRule type="cellIs" dxfId="100" priority="71" operator="between">
      <formula>0.4</formula>
      <formula>0.799</formula>
    </cfRule>
    <cfRule type="cellIs" dxfId="99" priority="72" operator="greaterThanOrEqual">
      <formula>0.8</formula>
    </cfRule>
  </conditionalFormatting>
  <conditionalFormatting sqref="AL11">
    <cfRule type="cellIs" dxfId="98" priority="67" operator="lessThan">
      <formula>0.4</formula>
    </cfRule>
    <cfRule type="cellIs" dxfId="97" priority="68" operator="between">
      <formula>0.4</formula>
      <formula>0.799</formula>
    </cfRule>
    <cfRule type="cellIs" dxfId="96" priority="69" operator="greaterThanOrEqual">
      <formula>0.8</formula>
    </cfRule>
  </conditionalFormatting>
  <conditionalFormatting sqref="AO10">
    <cfRule type="cellIs" dxfId="95" priority="64" operator="lessThan">
      <formula>0.4</formula>
    </cfRule>
    <cfRule type="cellIs" dxfId="94" priority="65" operator="between">
      <formula>0.4</formula>
      <formula>0.799</formula>
    </cfRule>
    <cfRule type="cellIs" dxfId="93" priority="66" operator="greaterThanOrEqual">
      <formula>0.8</formula>
    </cfRule>
  </conditionalFormatting>
  <conditionalFormatting sqref="AO11">
    <cfRule type="cellIs" dxfId="92" priority="61" operator="lessThan">
      <formula>0.4</formula>
    </cfRule>
    <cfRule type="cellIs" dxfId="91" priority="62" operator="between">
      <formula>0.4</formula>
      <formula>0.799</formula>
    </cfRule>
    <cfRule type="cellIs" dxfId="90" priority="63" operator="greaterThanOrEqual">
      <formula>0.8</formula>
    </cfRule>
  </conditionalFormatting>
  <conditionalFormatting sqref="AO8">
    <cfRule type="cellIs" dxfId="89" priority="58" operator="lessThan">
      <formula>0.4</formula>
    </cfRule>
    <cfRule type="cellIs" dxfId="88" priority="59" operator="between">
      <formula>0.4</formula>
      <formula>0.799</formula>
    </cfRule>
    <cfRule type="cellIs" dxfId="87" priority="60" operator="greaterThanOrEqual">
      <formula>0.8</formula>
    </cfRule>
  </conditionalFormatting>
  <conditionalFormatting sqref="AO5">
    <cfRule type="cellIs" dxfId="86" priority="55" operator="lessThan">
      <formula>0.4</formula>
    </cfRule>
    <cfRule type="cellIs" dxfId="85" priority="56" operator="between">
      <formula>0.4</formula>
      <formula>0.799</formula>
    </cfRule>
    <cfRule type="cellIs" dxfId="84" priority="57" operator="greaterThanOrEqual">
      <formula>0.8</formula>
    </cfRule>
  </conditionalFormatting>
  <conditionalFormatting sqref="AO7">
    <cfRule type="cellIs" dxfId="83" priority="52" operator="lessThan">
      <formula>0.4</formula>
    </cfRule>
    <cfRule type="cellIs" dxfId="82" priority="53" operator="between">
      <formula>0.4</formula>
      <formula>0.799</formula>
    </cfRule>
    <cfRule type="cellIs" dxfId="81" priority="54" operator="greaterThanOrEqual">
      <formula>0.8</formula>
    </cfRule>
  </conditionalFormatting>
  <conditionalFormatting sqref="AO9">
    <cfRule type="cellIs" dxfId="80" priority="49" operator="lessThan">
      <formula>0.4</formula>
    </cfRule>
    <cfRule type="cellIs" dxfId="79" priority="50" operator="between">
      <formula>0.4</formula>
      <formula>0.799</formula>
    </cfRule>
    <cfRule type="cellIs" dxfId="78" priority="51" operator="greaterThanOrEqual">
      <formula>0.8</formula>
    </cfRule>
  </conditionalFormatting>
  <conditionalFormatting sqref="AO4">
    <cfRule type="cellIs" dxfId="77" priority="46" operator="lessThan">
      <formula>0.4</formula>
    </cfRule>
    <cfRule type="cellIs" dxfId="76" priority="47" operator="between">
      <formula>0.4</formula>
      <formula>0.799</formula>
    </cfRule>
    <cfRule type="cellIs" dxfId="75" priority="48" operator="greaterThanOrEqual">
      <formula>0.8</formula>
    </cfRule>
  </conditionalFormatting>
  <conditionalFormatting sqref="AO6">
    <cfRule type="cellIs" dxfId="74" priority="43" operator="lessThan">
      <formula>0.4</formula>
    </cfRule>
    <cfRule type="cellIs" dxfId="73" priority="44" operator="between">
      <formula>0.4</formula>
      <formula>0.799</formula>
    </cfRule>
    <cfRule type="cellIs" dxfId="72" priority="45" operator="greaterThanOrEqual">
      <formula>0.8</formula>
    </cfRule>
  </conditionalFormatting>
  <conditionalFormatting sqref="AR10">
    <cfRule type="cellIs" dxfId="71" priority="40" operator="lessThan">
      <formula>0.4</formula>
    </cfRule>
    <cfRule type="cellIs" dxfId="70" priority="41" operator="between">
      <formula>0.4</formula>
      <formula>0.799</formula>
    </cfRule>
    <cfRule type="cellIs" dxfId="69" priority="42" operator="greaterThanOrEqual">
      <formula>0.8</formula>
    </cfRule>
  </conditionalFormatting>
  <conditionalFormatting sqref="AR11">
    <cfRule type="cellIs" dxfId="68" priority="37" operator="lessThan">
      <formula>0.4</formula>
    </cfRule>
    <cfRule type="cellIs" dxfId="67" priority="38" operator="between">
      <formula>0.4</formula>
      <formula>0.799</formula>
    </cfRule>
    <cfRule type="cellIs" dxfId="66" priority="39" operator="greaterThanOrEqual">
      <formula>0.8</formula>
    </cfRule>
  </conditionalFormatting>
  <conditionalFormatting sqref="AR8">
    <cfRule type="cellIs" dxfId="65" priority="34" operator="lessThan">
      <formula>0.4</formula>
    </cfRule>
    <cfRule type="cellIs" dxfId="64" priority="35" operator="between">
      <formula>0.4</formula>
      <formula>0.799</formula>
    </cfRule>
    <cfRule type="cellIs" dxfId="63" priority="36" operator="greaterThanOrEqual">
      <formula>0.8</formula>
    </cfRule>
  </conditionalFormatting>
  <conditionalFormatting sqref="AR5">
    <cfRule type="cellIs" dxfId="62" priority="31" operator="lessThan">
      <formula>0.4</formula>
    </cfRule>
    <cfRule type="cellIs" dxfId="61" priority="32" operator="between">
      <formula>0.4</formula>
      <formula>0.799</formula>
    </cfRule>
    <cfRule type="cellIs" dxfId="60" priority="33" operator="greaterThanOrEqual">
      <formula>0.8</formula>
    </cfRule>
  </conditionalFormatting>
  <conditionalFormatting sqref="AR7">
    <cfRule type="cellIs" dxfId="59" priority="28" operator="lessThan">
      <formula>0.4</formula>
    </cfRule>
    <cfRule type="cellIs" dxfId="58" priority="29" operator="between">
      <formula>0.4</formula>
      <formula>0.799</formula>
    </cfRule>
    <cfRule type="cellIs" dxfId="57" priority="30" operator="greaterThanOrEqual">
      <formula>0.8</formula>
    </cfRule>
  </conditionalFormatting>
  <conditionalFormatting sqref="AR9">
    <cfRule type="cellIs" dxfId="56" priority="25" operator="lessThan">
      <formula>0.4</formula>
    </cfRule>
    <cfRule type="cellIs" dxfId="55" priority="26" operator="between">
      <formula>0.4</formula>
      <formula>0.799</formula>
    </cfRule>
    <cfRule type="cellIs" dxfId="54" priority="27" operator="greaterThanOrEqual">
      <formula>0.8</formula>
    </cfRule>
  </conditionalFormatting>
  <conditionalFormatting sqref="AR4">
    <cfRule type="cellIs" dxfId="53" priority="22" operator="lessThan">
      <formula>0.4</formula>
    </cfRule>
    <cfRule type="cellIs" dxfId="52" priority="23" operator="between">
      <formula>0.4</formula>
      <formula>0.799</formula>
    </cfRule>
    <cfRule type="cellIs" dxfId="51" priority="24" operator="greaterThanOrEqual">
      <formula>0.8</formula>
    </cfRule>
  </conditionalFormatting>
  <conditionalFormatting sqref="AR6">
    <cfRule type="cellIs" dxfId="50" priority="19" operator="lessThan">
      <formula>0.4</formula>
    </cfRule>
    <cfRule type="cellIs" dxfId="49" priority="20" operator="between">
      <formula>0.4</formula>
      <formula>0.799</formula>
    </cfRule>
    <cfRule type="cellIs" dxfId="48" priority="21" operator="greaterThanOrEqual">
      <formula>0.8</formula>
    </cfRule>
  </conditionalFormatting>
  <conditionalFormatting sqref="AV4 AX4">
    <cfRule type="cellIs" dxfId="47" priority="16" operator="lessThan">
      <formula>0.4</formula>
    </cfRule>
    <cfRule type="cellIs" dxfId="46" priority="17" operator="between">
      <formula>0.4</formula>
      <formula>0.799</formula>
    </cfRule>
    <cfRule type="cellIs" dxfId="45" priority="18" operator="greaterThanOrEqual">
      <formula>0.8</formula>
    </cfRule>
  </conditionalFormatting>
  <conditionalFormatting sqref="AV6 AX6">
    <cfRule type="cellIs" dxfId="44" priority="13" operator="lessThan">
      <formula>0.4</formula>
    </cfRule>
    <cfRule type="cellIs" dxfId="43" priority="14" operator="between">
      <formula>0.4</formula>
      <formula>0.799</formula>
    </cfRule>
    <cfRule type="cellIs" dxfId="42" priority="15" operator="greaterThanOrEqual">
      <formula>0.8</formula>
    </cfRule>
  </conditionalFormatting>
  <conditionalFormatting sqref="AV10 AX10">
    <cfRule type="cellIs" dxfId="41" priority="10" operator="lessThan">
      <formula>0.4</formula>
    </cfRule>
    <cfRule type="cellIs" dxfId="40" priority="11" operator="between">
      <formula>0.4</formula>
      <formula>0.799</formula>
    </cfRule>
    <cfRule type="cellIs" dxfId="39" priority="12" operator="greaterThanOrEqual">
      <formula>0.8</formula>
    </cfRule>
  </conditionalFormatting>
  <conditionalFormatting sqref="AV11 AX11">
    <cfRule type="cellIs" dxfId="38" priority="7" operator="lessThan">
      <formula>0.4</formula>
    </cfRule>
    <cfRule type="cellIs" dxfId="37" priority="8" operator="between">
      <formula>0.4</formula>
      <formula>0.799</formula>
    </cfRule>
    <cfRule type="cellIs" dxfId="36" priority="9" operator="greaterThanOrEqual">
      <formula>0.8</formula>
    </cfRule>
  </conditionalFormatting>
  <conditionalFormatting sqref="AV8 AX8">
    <cfRule type="cellIs" dxfId="35" priority="4" operator="lessThan">
      <formula>0.4</formula>
    </cfRule>
    <cfRule type="cellIs" dxfId="34" priority="5" operator="between">
      <formula>0.4</formula>
      <formula>0.799</formula>
    </cfRule>
    <cfRule type="cellIs" dxfId="33" priority="6" operator="greaterThanOrEqual">
      <formula>0.8</formula>
    </cfRule>
  </conditionalFormatting>
  <conditionalFormatting sqref="AV9 AX9">
    <cfRule type="cellIs" dxfId="32" priority="1" operator="lessThan">
      <formula>0.4</formula>
    </cfRule>
    <cfRule type="cellIs" dxfId="31" priority="2" operator="between">
      <formula>0.4</formula>
      <formula>0.799</formula>
    </cfRule>
    <cfRule type="cellIs" dxfId="30" priority="3" operator="greaterThanOrEqual">
      <formula>0.8</formula>
    </cfRule>
  </conditionalFormatting>
  <pageMargins left="1.1023622047244095" right="0.70866141732283472" top="0.74803149606299213" bottom="0.74803149606299213" header="0.31496062992125984" footer="0.31496062992125984"/>
  <pageSetup scale="57" orientation="landscape" horizontalDpi="1200" verticalDpi="1200" r:id="rId1"/>
  <headerFooter>
    <oddFooter>Página &amp;P</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341D1-D9CF-4E10-9AE0-43A1E8B01A02}">
  <dimension ref="A1:I10"/>
  <sheetViews>
    <sheetView topLeftCell="A9" zoomScale="60" zoomScaleNormal="60" workbookViewId="0">
      <selection activeCell="D12" sqref="D12"/>
    </sheetView>
  </sheetViews>
  <sheetFormatPr baseColWidth="10" defaultRowHeight="15" x14ac:dyDescent="0.25"/>
  <cols>
    <col min="1" max="1" width="22.7109375" customWidth="1"/>
    <col min="2" max="2" width="31" customWidth="1"/>
    <col min="3" max="3" width="16.5703125" customWidth="1"/>
    <col min="4" max="4" width="32" customWidth="1"/>
    <col min="5" max="5" width="8.5703125" customWidth="1"/>
    <col min="6" max="6" width="9" customWidth="1"/>
    <col min="7" max="7" width="10" customWidth="1"/>
    <col min="8" max="8" width="11" customWidth="1"/>
    <col min="9" max="9" width="20.85546875" customWidth="1"/>
  </cols>
  <sheetData>
    <row r="1" spans="1:9" ht="18" x14ac:dyDescent="0.25">
      <c r="A1" s="415" t="s">
        <v>0</v>
      </c>
      <c r="B1" s="414" t="s">
        <v>13</v>
      </c>
      <c r="C1" s="414" t="s">
        <v>2</v>
      </c>
      <c r="D1" s="414" t="s">
        <v>86</v>
      </c>
      <c r="E1" s="414" t="s">
        <v>3</v>
      </c>
      <c r="F1" s="414"/>
      <c r="G1" s="414"/>
      <c r="H1" s="414"/>
      <c r="I1" s="414" t="s">
        <v>36</v>
      </c>
    </row>
    <row r="2" spans="1:9" ht="32.25" customHeight="1" x14ac:dyDescent="0.25">
      <c r="A2" s="415"/>
      <c r="B2" s="414"/>
      <c r="C2" s="414"/>
      <c r="D2" s="414"/>
      <c r="E2" s="73">
        <v>2019</v>
      </c>
      <c r="F2" s="73">
        <v>2020</v>
      </c>
      <c r="G2" s="73">
        <v>2021</v>
      </c>
      <c r="H2" s="73">
        <v>2022</v>
      </c>
      <c r="I2" s="414"/>
    </row>
    <row r="3" spans="1:9" ht="159" customHeight="1" x14ac:dyDescent="0.25">
      <c r="A3" s="74" t="s">
        <v>35</v>
      </c>
      <c r="B3" s="10" t="s">
        <v>16</v>
      </c>
      <c r="C3" s="4" t="s">
        <v>4</v>
      </c>
      <c r="D3" s="33" t="s">
        <v>83</v>
      </c>
      <c r="E3" s="15">
        <v>0.03</v>
      </c>
      <c r="F3" s="5">
        <v>0.23</v>
      </c>
      <c r="G3" s="5">
        <v>0.5</v>
      </c>
      <c r="H3" s="5">
        <v>0.6</v>
      </c>
      <c r="I3" s="32" t="s">
        <v>23</v>
      </c>
    </row>
    <row r="4" spans="1:9" ht="159" customHeight="1" x14ac:dyDescent="0.25">
      <c r="A4" s="74" t="s">
        <v>35</v>
      </c>
      <c r="B4" s="10" t="s">
        <v>14</v>
      </c>
      <c r="C4" s="4" t="s">
        <v>4</v>
      </c>
      <c r="D4" s="33" t="s">
        <v>83</v>
      </c>
      <c r="E4" s="8">
        <v>8.5000000000000006E-2</v>
      </c>
      <c r="F4" s="8">
        <v>0.20100000000000001</v>
      </c>
      <c r="G4" s="8">
        <v>0.35099999999999998</v>
      </c>
      <c r="H4" s="5">
        <v>0.6</v>
      </c>
      <c r="I4" s="32" t="s">
        <v>5</v>
      </c>
    </row>
    <row r="5" spans="1:9" ht="162.75" customHeight="1" x14ac:dyDescent="0.25">
      <c r="A5" s="74" t="s">
        <v>35</v>
      </c>
      <c r="B5" s="10" t="s">
        <v>6</v>
      </c>
      <c r="C5" s="16" t="s">
        <v>4</v>
      </c>
      <c r="D5" s="33" t="s">
        <v>83</v>
      </c>
      <c r="E5" s="5">
        <v>0.23</v>
      </c>
      <c r="F5" s="5">
        <v>0.37</v>
      </c>
      <c r="G5" s="5">
        <v>0.49</v>
      </c>
      <c r="H5" s="5">
        <v>0.6</v>
      </c>
      <c r="I5" s="32" t="s">
        <v>23</v>
      </c>
    </row>
    <row r="6" spans="1:9" ht="288" x14ac:dyDescent="0.25">
      <c r="A6" s="75" t="s">
        <v>34</v>
      </c>
      <c r="B6" s="10" t="s">
        <v>7</v>
      </c>
      <c r="C6" s="4" t="s">
        <v>4</v>
      </c>
      <c r="D6" s="33" t="s">
        <v>85</v>
      </c>
      <c r="E6" s="8">
        <v>3.0999999999999999E-3</v>
      </c>
      <c r="F6" s="8">
        <v>0.19900000000000001</v>
      </c>
      <c r="G6" s="8">
        <v>0.20300000000000001</v>
      </c>
      <c r="H6" s="8">
        <v>0.59399999999999997</v>
      </c>
      <c r="I6" s="32" t="s">
        <v>22</v>
      </c>
    </row>
    <row r="7" spans="1:9" ht="288" x14ac:dyDescent="0.25">
      <c r="A7" s="74" t="s">
        <v>35</v>
      </c>
      <c r="B7" s="10" t="s">
        <v>15</v>
      </c>
      <c r="C7" s="16" t="s">
        <v>4</v>
      </c>
      <c r="D7" s="33" t="s">
        <v>84</v>
      </c>
      <c r="E7" s="5">
        <v>0.05</v>
      </c>
      <c r="F7" s="5">
        <v>0.3</v>
      </c>
      <c r="G7" s="5">
        <v>0.6</v>
      </c>
      <c r="H7" s="5">
        <v>1</v>
      </c>
      <c r="I7" s="6" t="s">
        <v>45</v>
      </c>
    </row>
    <row r="8" spans="1:9" ht="288" x14ac:dyDescent="0.25">
      <c r="A8" s="74" t="s">
        <v>35</v>
      </c>
      <c r="B8" s="32" t="s">
        <v>9</v>
      </c>
      <c r="C8" s="20" t="s">
        <v>10</v>
      </c>
      <c r="D8" s="33" t="s">
        <v>84</v>
      </c>
      <c r="E8" s="16">
        <v>6</v>
      </c>
      <c r="F8" s="16">
        <v>10</v>
      </c>
      <c r="G8" s="16">
        <v>17</v>
      </c>
      <c r="H8" s="16">
        <v>20</v>
      </c>
      <c r="I8" s="6" t="s">
        <v>22</v>
      </c>
    </row>
    <row r="9" spans="1:9" ht="263.25" customHeight="1" x14ac:dyDescent="0.25">
      <c r="A9" s="74" t="s">
        <v>35</v>
      </c>
      <c r="B9" s="76" t="s">
        <v>11</v>
      </c>
      <c r="C9" s="16" t="s">
        <v>8</v>
      </c>
      <c r="D9" s="33" t="s">
        <v>84</v>
      </c>
      <c r="E9" s="77">
        <v>175</v>
      </c>
      <c r="F9" s="77">
        <v>200</v>
      </c>
      <c r="G9" s="77">
        <v>225</v>
      </c>
      <c r="H9" s="77">
        <v>250</v>
      </c>
      <c r="I9" s="11" t="s">
        <v>12</v>
      </c>
    </row>
    <row r="10" spans="1:9" ht="126" x14ac:dyDescent="0.25">
      <c r="A10" s="25" t="s">
        <v>74</v>
      </c>
      <c r="B10" s="25" t="s">
        <v>46</v>
      </c>
      <c r="C10" s="26" t="s">
        <v>4</v>
      </c>
      <c r="D10" s="26"/>
      <c r="E10" s="27">
        <v>0.1</v>
      </c>
      <c r="F10" s="27">
        <v>0.3</v>
      </c>
      <c r="G10" s="27">
        <v>0.3</v>
      </c>
      <c r="H10" s="27">
        <v>0.3</v>
      </c>
      <c r="I10" s="11" t="s">
        <v>12</v>
      </c>
    </row>
  </sheetData>
  <mergeCells count="6">
    <mergeCell ref="I1:I2"/>
    <mergeCell ref="A1:A2"/>
    <mergeCell ref="B1:B2"/>
    <mergeCell ref="C1:C2"/>
    <mergeCell ref="D1:D2"/>
    <mergeCell ref="E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B1CC5-8E2B-471C-9C55-F8CE18C114A9}">
  <dimension ref="B3:P19"/>
  <sheetViews>
    <sheetView showGridLines="0" workbookViewId="0">
      <selection activeCell="L3" sqref="L3"/>
    </sheetView>
  </sheetViews>
  <sheetFormatPr baseColWidth="10" defaultRowHeight="15" x14ac:dyDescent="0.25"/>
  <cols>
    <col min="4" max="4" width="12.28515625" bestFit="1" customWidth="1"/>
    <col min="6" max="6" width="11.28515625" bestFit="1" customWidth="1"/>
    <col min="8" max="8" width="12.7109375" bestFit="1" customWidth="1"/>
  </cols>
  <sheetData>
    <row r="3" spans="2:16" x14ac:dyDescent="0.25">
      <c r="L3">
        <v>114174800</v>
      </c>
      <c r="M3" t="s">
        <v>228</v>
      </c>
      <c r="N3">
        <v>2019</v>
      </c>
      <c r="O3">
        <v>2020</v>
      </c>
    </row>
    <row r="4" spans="2:16" ht="15.75" thickBot="1" x14ac:dyDescent="0.3">
      <c r="L4">
        <v>68457962</v>
      </c>
      <c r="M4" s="258">
        <f>L3*1.9/100</f>
        <v>2169321.2000000002</v>
      </c>
      <c r="N4">
        <f>(L3*3)/100</f>
        <v>3425244</v>
      </c>
      <c r="O4">
        <f>(L3*23)/100</f>
        <v>26260204</v>
      </c>
      <c r="P4">
        <f>(L3*50)/100</f>
        <v>57087400</v>
      </c>
    </row>
    <row r="5" spans="2:16" ht="15.75" thickBot="1" x14ac:dyDescent="0.3">
      <c r="B5" s="416" t="s">
        <v>160</v>
      </c>
      <c r="C5" s="418" t="s">
        <v>161</v>
      </c>
      <c r="D5" s="419"/>
      <c r="E5" s="418" t="s">
        <v>162</v>
      </c>
      <c r="F5" s="419"/>
      <c r="G5" s="420" t="s">
        <v>163</v>
      </c>
      <c r="H5" s="421"/>
    </row>
    <row r="6" spans="2:16" ht="15.75" thickBot="1" x14ac:dyDescent="0.3">
      <c r="B6" s="417"/>
      <c r="C6" s="112" t="s">
        <v>164</v>
      </c>
      <c r="D6" s="112" t="s">
        <v>165</v>
      </c>
      <c r="E6" s="112" t="s">
        <v>164</v>
      </c>
      <c r="F6" s="112" t="s">
        <v>165</v>
      </c>
      <c r="G6" s="113" t="s">
        <v>164</v>
      </c>
      <c r="H6" s="113" t="s">
        <v>165</v>
      </c>
    </row>
    <row r="7" spans="2:16" ht="15.75" thickBot="1" x14ac:dyDescent="0.3">
      <c r="B7" s="114" t="s">
        <v>166</v>
      </c>
      <c r="C7" s="102">
        <v>1.9E-2</v>
      </c>
      <c r="D7" s="103">
        <v>2167835.46</v>
      </c>
      <c r="E7" s="104"/>
      <c r="F7" s="105"/>
      <c r="G7" s="106"/>
      <c r="H7" s="106"/>
      <c r="I7" s="127">
        <f>F9/D9</f>
        <v>0.51131838803735419</v>
      </c>
    </row>
    <row r="8" spans="2:16" ht="15.75" thickBot="1" x14ac:dyDescent="0.3">
      <c r="B8" s="114">
        <v>2019</v>
      </c>
      <c r="C8" s="107">
        <v>0.03</v>
      </c>
      <c r="D8" s="103">
        <v>3422898.1</v>
      </c>
      <c r="E8" s="102">
        <v>0.03</v>
      </c>
      <c r="F8" s="103">
        <v>3820715.52</v>
      </c>
      <c r="G8" s="108"/>
      <c r="H8" s="108"/>
    </row>
    <row r="9" spans="2:16" ht="15.75" thickBot="1" x14ac:dyDescent="0.3">
      <c r="B9" s="114">
        <v>2020</v>
      </c>
      <c r="C9" s="107">
        <v>0.23</v>
      </c>
      <c r="D9" s="103">
        <v>26242218.77</v>
      </c>
      <c r="E9" s="102">
        <v>0.1176</v>
      </c>
      <c r="F9" s="109">
        <v>13418129</v>
      </c>
      <c r="G9" s="110">
        <v>0.14760000000000001</v>
      </c>
      <c r="H9" s="111">
        <v>17238844.5</v>
      </c>
    </row>
    <row r="10" spans="2:16" ht="15.75" thickBot="1" x14ac:dyDescent="0.3">
      <c r="B10" s="114">
        <v>2021</v>
      </c>
      <c r="C10" s="107">
        <v>0.5</v>
      </c>
      <c r="H10" s="95">
        <f>+F9+D8</f>
        <v>16841027.100000001</v>
      </c>
    </row>
    <row r="12" spans="2:16" x14ac:dyDescent="0.25">
      <c r="B12" s="115" t="s">
        <v>167</v>
      </c>
      <c r="C12" s="116"/>
      <c r="D12" s="116"/>
      <c r="E12" s="116"/>
      <c r="F12" s="116"/>
    </row>
    <row r="13" spans="2:16" x14ac:dyDescent="0.25">
      <c r="B13" s="117" t="s">
        <v>168</v>
      </c>
      <c r="C13" s="117" t="s">
        <v>169</v>
      </c>
      <c r="D13" s="117" t="s">
        <v>170</v>
      </c>
      <c r="E13" s="117" t="s">
        <v>171</v>
      </c>
      <c r="F13" s="117" t="s">
        <v>172</v>
      </c>
    </row>
    <row r="14" spans="2:16" x14ac:dyDescent="0.25">
      <c r="B14" s="118" t="s">
        <v>173</v>
      </c>
      <c r="C14" s="119" t="s">
        <v>174</v>
      </c>
      <c r="D14" s="119">
        <v>1.9E-2</v>
      </c>
      <c r="E14" s="119" t="s">
        <v>174</v>
      </c>
      <c r="F14" s="116"/>
      <c r="I14">
        <f>(D16/C18)*100</f>
        <v>24.6</v>
      </c>
    </row>
    <row r="15" spans="2:16" x14ac:dyDescent="0.25">
      <c r="B15" s="118" t="s">
        <v>175</v>
      </c>
      <c r="C15" s="119">
        <v>0.03</v>
      </c>
      <c r="D15" s="119">
        <v>0.03</v>
      </c>
      <c r="E15" s="119">
        <f>D15/C15*100%</f>
        <v>1</v>
      </c>
      <c r="F15" s="136">
        <v>0.03</v>
      </c>
    </row>
    <row r="16" spans="2:16" x14ac:dyDescent="0.25">
      <c r="B16" s="118" t="s">
        <v>176</v>
      </c>
      <c r="C16" s="119">
        <v>0.23</v>
      </c>
      <c r="D16" s="119">
        <f>11.76%+D15</f>
        <v>0.14760000000000001</v>
      </c>
      <c r="E16" s="257">
        <f>(D16/C16)*100%</f>
        <v>0.64173913043478259</v>
      </c>
      <c r="F16" s="136">
        <v>0.2</v>
      </c>
    </row>
    <row r="17" spans="2:6" x14ac:dyDescent="0.25">
      <c r="B17" s="118" t="s">
        <v>177</v>
      </c>
      <c r="C17" s="119">
        <v>0.5</v>
      </c>
      <c r="D17" s="119"/>
      <c r="E17" s="119">
        <f>(D17/C17)*100%</f>
        <v>0</v>
      </c>
      <c r="F17" s="136">
        <v>0.27</v>
      </c>
    </row>
    <row r="18" spans="2:6" x14ac:dyDescent="0.25">
      <c r="B18" s="118" t="s">
        <v>178</v>
      </c>
      <c r="C18" s="119">
        <v>0.6</v>
      </c>
      <c r="D18" s="119"/>
      <c r="E18" s="119">
        <f>(D18/C18)*100%</f>
        <v>0</v>
      </c>
      <c r="F18" s="136">
        <v>0.1</v>
      </c>
    </row>
    <row r="19" spans="2:6" x14ac:dyDescent="0.25">
      <c r="B19" s="120" t="s">
        <v>179</v>
      </c>
      <c r="C19" s="121">
        <v>0.6</v>
      </c>
      <c r="D19" s="121">
        <f>+D16</f>
        <v>0.14760000000000001</v>
      </c>
      <c r="E19" s="121">
        <f>(D19*100%)/C19</f>
        <v>0.24600000000000002</v>
      </c>
      <c r="F19" s="121">
        <v>0.6</v>
      </c>
    </row>
  </sheetData>
  <mergeCells count="4">
    <mergeCell ref="B5:B6"/>
    <mergeCell ref="C5:D5"/>
    <mergeCell ref="E5:F5"/>
    <mergeCell ref="G5:H5"/>
  </mergeCells>
  <pageMargins left="0.7" right="0.7" top="0.75" bottom="0.75" header="0.3" footer="0.3"/>
  <ignoredErrors>
    <ignoredError sqref="E16"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AE3B6-EF58-4D2B-BB93-55EECF49B122}">
  <dimension ref="B3:N22"/>
  <sheetViews>
    <sheetView showGridLines="0" topLeftCell="A3" workbookViewId="0">
      <selection activeCell="N10" sqref="N10"/>
    </sheetView>
  </sheetViews>
  <sheetFormatPr baseColWidth="10" defaultRowHeight="15" x14ac:dyDescent="0.25"/>
  <cols>
    <col min="4" max="4" width="12.7109375" bestFit="1" customWidth="1"/>
    <col min="6" max="6" width="12.7109375" bestFit="1" customWidth="1"/>
    <col min="8" max="8" width="19.140625" customWidth="1"/>
    <col min="10" max="12" width="0" hidden="1" customWidth="1"/>
  </cols>
  <sheetData>
    <row r="3" spans="2:14" ht="15.75" thickBot="1" x14ac:dyDescent="0.3"/>
    <row r="4" spans="2:14" ht="15.75" thickBot="1" x14ac:dyDescent="0.3">
      <c r="B4" s="416" t="s">
        <v>160</v>
      </c>
      <c r="C4" s="418" t="s">
        <v>161</v>
      </c>
      <c r="D4" s="419"/>
      <c r="E4" s="418" t="s">
        <v>162</v>
      </c>
      <c r="F4" s="419"/>
      <c r="G4" s="420" t="s">
        <v>163</v>
      </c>
      <c r="H4" s="421"/>
      <c r="J4">
        <v>114174800</v>
      </c>
      <c r="K4">
        <f>(J4*12.5)/100</f>
        <v>14271850</v>
      </c>
    </row>
    <row r="5" spans="2:14" ht="15.75" thickBot="1" x14ac:dyDescent="0.3">
      <c r="B5" s="417"/>
      <c r="C5" s="112" t="s">
        <v>164</v>
      </c>
      <c r="D5" s="112" t="s">
        <v>165</v>
      </c>
      <c r="E5" s="112" t="s">
        <v>164</v>
      </c>
      <c r="F5" s="112" t="s">
        <v>165</v>
      </c>
      <c r="G5" s="113" t="s">
        <v>164</v>
      </c>
      <c r="H5" s="113" t="s">
        <v>165</v>
      </c>
      <c r="K5">
        <f>(J4*23)/100</f>
        <v>26260204</v>
      </c>
      <c r="N5" t="s">
        <v>247</v>
      </c>
    </row>
    <row r="6" spans="2:14" ht="15.75" thickBot="1" x14ac:dyDescent="0.3">
      <c r="B6" s="101" t="s">
        <v>166</v>
      </c>
      <c r="C6" s="123" t="s">
        <v>180</v>
      </c>
      <c r="D6" s="103">
        <v>14262075.42</v>
      </c>
      <c r="E6" s="104"/>
      <c r="F6" s="105"/>
      <c r="G6" s="106"/>
      <c r="H6" s="106"/>
      <c r="K6">
        <f>(J4*37)/100</f>
        <v>42244676</v>
      </c>
      <c r="L6" s="125">
        <f>(37-12.5)/(37-12.5)</f>
        <v>1</v>
      </c>
    </row>
    <row r="7" spans="2:14" ht="15.75" thickBot="1" x14ac:dyDescent="0.3">
      <c r="B7" s="101">
        <v>2019</v>
      </c>
      <c r="C7" s="107">
        <v>0.23</v>
      </c>
      <c r="D7" s="103">
        <v>26242218.77</v>
      </c>
      <c r="E7" s="123" t="s">
        <v>181</v>
      </c>
      <c r="F7" s="103">
        <v>11980143.35</v>
      </c>
      <c r="G7" s="108"/>
      <c r="H7" s="124"/>
      <c r="K7">
        <f>(J4*49)/100</f>
        <v>55945652</v>
      </c>
      <c r="L7" s="127">
        <f>(10.5-12.5)/(23-12.5)</f>
        <v>-0.19047619047619047</v>
      </c>
    </row>
    <row r="8" spans="2:14" ht="15.75" thickBot="1" x14ac:dyDescent="0.3">
      <c r="B8" s="101">
        <v>2020</v>
      </c>
      <c r="C8" s="107">
        <v>0.37</v>
      </c>
      <c r="D8" s="103">
        <v>42215743.240000002</v>
      </c>
      <c r="E8" s="102">
        <v>0.14230000000000001</v>
      </c>
      <c r="F8" s="103">
        <v>16231703.439999999</v>
      </c>
      <c r="G8" s="110">
        <v>0.37230000000000002</v>
      </c>
    </row>
    <row r="9" spans="2:14" x14ac:dyDescent="0.25">
      <c r="D9" s="126"/>
      <c r="E9" s="125"/>
      <c r="F9" s="126"/>
    </row>
    <row r="10" spans="2:14" x14ac:dyDescent="0.25">
      <c r="D10" s="95"/>
      <c r="E10" s="125"/>
      <c r="F10" s="128"/>
    </row>
    <row r="12" spans="2:14" x14ac:dyDescent="0.25">
      <c r="B12" s="129" t="s">
        <v>182</v>
      </c>
      <c r="C12" s="130"/>
      <c r="D12" s="130"/>
      <c r="E12" s="130"/>
      <c r="F12" s="130"/>
    </row>
    <row r="13" spans="2:14" x14ac:dyDescent="0.25">
      <c r="B13" s="131" t="s">
        <v>168</v>
      </c>
      <c r="C13" s="131" t="s">
        <v>169</v>
      </c>
      <c r="D13" s="131" t="s">
        <v>170</v>
      </c>
      <c r="E13" s="131" t="s">
        <v>171</v>
      </c>
      <c r="F13" s="117" t="s">
        <v>172</v>
      </c>
    </row>
    <row r="14" spans="2:14" x14ac:dyDescent="0.25">
      <c r="B14" s="132" t="s">
        <v>173</v>
      </c>
      <c r="C14" s="133" t="s">
        <v>174</v>
      </c>
      <c r="D14" s="134">
        <v>12.5</v>
      </c>
      <c r="E14" s="137" t="s">
        <v>174</v>
      </c>
      <c r="F14" s="139"/>
    </row>
    <row r="15" spans="2:14" x14ac:dyDescent="0.25">
      <c r="B15" s="132" t="s">
        <v>175</v>
      </c>
      <c r="C15" s="135">
        <v>0.23</v>
      </c>
      <c r="D15" s="135">
        <v>0.23</v>
      </c>
      <c r="E15" s="135">
        <f>D15/C15*100%</f>
        <v>1</v>
      </c>
      <c r="F15" s="138">
        <v>0.23</v>
      </c>
      <c r="H15" s="95"/>
    </row>
    <row r="16" spans="2:14" x14ac:dyDescent="0.25">
      <c r="B16" s="132" t="s">
        <v>176</v>
      </c>
      <c r="C16" s="135">
        <v>0.37</v>
      </c>
      <c r="D16" s="135">
        <f>14.23%+D15</f>
        <v>0.37230000000000002</v>
      </c>
      <c r="E16" s="135">
        <f>D16/C16*100%</f>
        <v>1.0062162162162163</v>
      </c>
      <c r="F16" s="136">
        <v>0.14000000000000001</v>
      </c>
      <c r="H16" s="127"/>
    </row>
    <row r="17" spans="2:8" x14ac:dyDescent="0.25">
      <c r="B17" s="132" t="s">
        <v>177</v>
      </c>
      <c r="C17" s="135">
        <v>0.49</v>
      </c>
      <c r="D17" s="135"/>
      <c r="E17" s="135">
        <f>D17/C17*100%</f>
        <v>0</v>
      </c>
      <c r="F17" s="136">
        <v>0.12</v>
      </c>
    </row>
    <row r="18" spans="2:8" x14ac:dyDescent="0.25">
      <c r="B18" s="132" t="s">
        <v>178</v>
      </c>
      <c r="C18" s="135">
        <v>0.6</v>
      </c>
      <c r="D18" s="135"/>
      <c r="E18" s="135">
        <f>D18/C18*100%</f>
        <v>0</v>
      </c>
      <c r="F18" s="136">
        <v>0.11</v>
      </c>
    </row>
    <row r="19" spans="2:8" x14ac:dyDescent="0.25">
      <c r="B19" s="132" t="s">
        <v>179</v>
      </c>
      <c r="C19" s="136">
        <v>0.6</v>
      </c>
      <c r="D19" s="136">
        <f>+D16</f>
        <v>0.37230000000000002</v>
      </c>
      <c r="E19" s="136">
        <f>(D19*100%)/C19</f>
        <v>0.62050000000000005</v>
      </c>
      <c r="F19" s="136">
        <v>0.6</v>
      </c>
    </row>
    <row r="22" spans="2:8" ht="15.75" thickBot="1" x14ac:dyDescent="0.3">
      <c r="H22" s="111">
        <f>+D6+F7+F8</f>
        <v>42473922.210000001</v>
      </c>
    </row>
  </sheetData>
  <mergeCells count="4">
    <mergeCell ref="B4:B5"/>
    <mergeCell ref="C4:D4"/>
    <mergeCell ref="E4:F4"/>
    <mergeCell ref="G4:H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
  <sheetViews>
    <sheetView topLeftCell="D1" workbookViewId="0">
      <selection sqref="A1:L3"/>
    </sheetView>
  </sheetViews>
  <sheetFormatPr baseColWidth="10" defaultRowHeight="15" x14ac:dyDescent="0.25"/>
  <cols>
    <col min="1" max="1" width="17.85546875" customWidth="1"/>
    <col min="2" max="2" width="18" customWidth="1"/>
    <col min="7" max="7" width="22" customWidth="1"/>
    <col min="8" max="8" width="14.140625" customWidth="1"/>
    <col min="9" max="9" width="17.140625" customWidth="1"/>
    <col min="10" max="10" width="19.5703125" customWidth="1"/>
    <col min="11" max="11" width="13.7109375" customWidth="1"/>
    <col min="12" max="12" width="22.7109375" customWidth="1"/>
  </cols>
  <sheetData>
    <row r="1" spans="1:12" ht="24" customHeight="1" thickBot="1" x14ac:dyDescent="0.3">
      <c r="A1" s="424" t="s">
        <v>2</v>
      </c>
      <c r="B1" s="426" t="s">
        <v>1</v>
      </c>
      <c r="C1" s="428" t="s">
        <v>3</v>
      </c>
      <c r="D1" s="428"/>
      <c r="E1" s="428"/>
      <c r="F1" s="428"/>
      <c r="G1" s="429" t="s">
        <v>36</v>
      </c>
      <c r="H1" s="431" t="s">
        <v>17</v>
      </c>
      <c r="I1" s="432"/>
      <c r="J1" s="432"/>
      <c r="K1" s="422" t="s">
        <v>20</v>
      </c>
      <c r="L1" s="423"/>
    </row>
    <row r="2" spans="1:12" ht="63.75" customHeight="1" thickBot="1" x14ac:dyDescent="0.3">
      <c r="A2" s="425"/>
      <c r="B2" s="427"/>
      <c r="C2" s="42">
        <v>2019</v>
      </c>
      <c r="D2" s="42">
        <v>2020</v>
      </c>
      <c r="E2" s="42">
        <v>2021</v>
      </c>
      <c r="F2" s="42">
        <v>2022</v>
      </c>
      <c r="G2" s="430"/>
      <c r="H2" s="52" t="s">
        <v>18</v>
      </c>
      <c r="I2" s="53" t="s">
        <v>19</v>
      </c>
      <c r="J2" s="53" t="s">
        <v>24</v>
      </c>
      <c r="K2" s="54" t="s">
        <v>92</v>
      </c>
      <c r="L2" s="55" t="s">
        <v>90</v>
      </c>
    </row>
    <row r="3" spans="1:12" ht="54" x14ac:dyDescent="0.25">
      <c r="A3" s="44" t="s">
        <v>4</v>
      </c>
      <c r="B3" s="30">
        <v>0.6</v>
      </c>
      <c r="C3" s="45">
        <v>0.03</v>
      </c>
      <c r="D3" s="46">
        <v>0.23</v>
      </c>
      <c r="E3" s="46">
        <v>0.5</v>
      </c>
      <c r="F3" s="46">
        <v>0.6</v>
      </c>
      <c r="G3" s="47" t="s">
        <v>23</v>
      </c>
      <c r="H3" s="48">
        <v>0.03</v>
      </c>
      <c r="I3" s="49">
        <v>0.03</v>
      </c>
      <c r="J3" s="50">
        <f>I3/H3</f>
        <v>1</v>
      </c>
      <c r="K3" s="51">
        <v>0.23</v>
      </c>
      <c r="L3" s="56">
        <v>5.0000000000000001E-3</v>
      </c>
    </row>
  </sheetData>
  <mergeCells count="6">
    <mergeCell ref="K1:L1"/>
    <mergeCell ref="A1:A2"/>
    <mergeCell ref="B1:B2"/>
    <mergeCell ref="C1:F1"/>
    <mergeCell ref="G1:G2"/>
    <mergeCell ref="H1:J1"/>
  </mergeCells>
  <phoneticPr fontId="9" type="noConversion"/>
  <conditionalFormatting sqref="J3">
    <cfRule type="cellIs" dxfId="29" priority="16" operator="lessThan">
      <formula>0.4</formula>
    </cfRule>
    <cfRule type="cellIs" dxfId="28" priority="17" operator="between">
      <formula>0.4</formula>
      <formula>0.799</formula>
    </cfRule>
    <cfRule type="cellIs" dxfId="27" priority="18" operator="greaterThanOrEqual">
      <formula>0.8</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F0A7F-FC33-4FCE-93ED-847CE9EAABE7}">
  <dimension ref="A1:L3"/>
  <sheetViews>
    <sheetView zoomScale="80" zoomScaleNormal="80" workbookViewId="0">
      <selection activeCell="G9" sqref="G9"/>
    </sheetView>
  </sheetViews>
  <sheetFormatPr baseColWidth="10" defaultRowHeight="15" x14ac:dyDescent="0.25"/>
  <cols>
    <col min="1" max="1" width="14.42578125" customWidth="1"/>
    <col min="2" max="2" width="20.5703125" customWidth="1"/>
    <col min="7" max="7" width="22.85546875" customWidth="1"/>
    <col min="8" max="8" width="15.5703125" customWidth="1"/>
    <col min="9" max="9" width="16.85546875" customWidth="1"/>
    <col min="10" max="10" width="20.5703125" customWidth="1"/>
    <col min="12" max="12" width="19.140625" customWidth="1"/>
  </cols>
  <sheetData>
    <row r="1" spans="1:12" ht="22.5" customHeight="1" x14ac:dyDescent="0.25">
      <c r="A1" s="435" t="s">
        <v>2</v>
      </c>
      <c r="B1" s="428" t="s">
        <v>1</v>
      </c>
      <c r="C1" s="428" t="s">
        <v>3</v>
      </c>
      <c r="D1" s="428"/>
      <c r="E1" s="428"/>
      <c r="F1" s="428"/>
      <c r="G1" s="428" t="s">
        <v>36</v>
      </c>
      <c r="H1" s="438" t="s">
        <v>17</v>
      </c>
      <c r="I1" s="438"/>
      <c r="J1" s="438"/>
      <c r="K1" s="433" t="s">
        <v>20</v>
      </c>
      <c r="L1" s="434"/>
    </row>
    <row r="2" spans="1:12" ht="57.75" customHeight="1" thickBot="1" x14ac:dyDescent="0.3">
      <c r="A2" s="436"/>
      <c r="B2" s="437"/>
      <c r="C2" s="57">
        <v>2019</v>
      </c>
      <c r="D2" s="57">
        <v>2020</v>
      </c>
      <c r="E2" s="57">
        <v>2021</v>
      </c>
      <c r="F2" s="57">
        <v>2022</v>
      </c>
      <c r="G2" s="437"/>
      <c r="H2" s="58" t="s">
        <v>18</v>
      </c>
      <c r="I2" s="59" t="s">
        <v>19</v>
      </c>
      <c r="J2" s="59" t="s">
        <v>24</v>
      </c>
      <c r="K2" s="54" t="s">
        <v>92</v>
      </c>
      <c r="L2" s="55" t="s">
        <v>90</v>
      </c>
    </row>
    <row r="3" spans="1:12" ht="54" x14ac:dyDescent="0.25">
      <c r="A3" s="16" t="s">
        <v>4</v>
      </c>
      <c r="B3" s="7">
        <v>0.6</v>
      </c>
      <c r="C3" s="5">
        <v>0.23</v>
      </c>
      <c r="D3" s="5">
        <v>0.37</v>
      </c>
      <c r="E3" s="5">
        <v>0.49</v>
      </c>
      <c r="F3" s="5">
        <v>0.6</v>
      </c>
      <c r="G3" s="32" t="s">
        <v>23</v>
      </c>
      <c r="H3" s="8">
        <f>+C3</f>
        <v>0.23</v>
      </c>
      <c r="I3" s="8">
        <v>0.23</v>
      </c>
      <c r="J3" s="12">
        <f>I3/H3</f>
        <v>1</v>
      </c>
      <c r="K3" s="8">
        <v>0.37</v>
      </c>
      <c r="L3" s="8">
        <v>8.0000000000000002E-3</v>
      </c>
    </row>
  </sheetData>
  <mergeCells count="6">
    <mergeCell ref="K1:L1"/>
    <mergeCell ref="A1:A2"/>
    <mergeCell ref="B1:B2"/>
    <mergeCell ref="C1:F1"/>
    <mergeCell ref="G1:G2"/>
    <mergeCell ref="H1:J1"/>
  </mergeCells>
  <phoneticPr fontId="9" type="noConversion"/>
  <conditionalFormatting sqref="J3">
    <cfRule type="cellIs" dxfId="26" priority="22" operator="lessThan">
      <formula>0.4</formula>
    </cfRule>
    <cfRule type="cellIs" dxfId="25" priority="23" operator="between">
      <formula>0.4</formula>
      <formula>0.799</formula>
    </cfRule>
    <cfRule type="cellIs" dxfId="24" priority="24" operator="greaterThanOrEqual">
      <formula>0.8</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109C7-1229-42A2-A680-A54FDD9E9D2A}">
  <dimension ref="A1:L3"/>
  <sheetViews>
    <sheetView workbookViewId="0">
      <selection sqref="A1:L3"/>
    </sheetView>
  </sheetViews>
  <sheetFormatPr baseColWidth="10" defaultRowHeight="15" x14ac:dyDescent="0.25"/>
  <cols>
    <col min="1" max="1" width="15.140625" customWidth="1"/>
    <col min="2" max="2" width="19" customWidth="1"/>
    <col min="7" max="7" width="22.7109375" customWidth="1"/>
    <col min="8" max="8" width="16" customWidth="1"/>
    <col min="9" max="10" width="18.28515625" customWidth="1"/>
    <col min="12" max="12" width="19.85546875" customWidth="1"/>
  </cols>
  <sheetData>
    <row r="1" spans="1:12" ht="18" x14ac:dyDescent="0.25">
      <c r="A1" s="435" t="s">
        <v>2</v>
      </c>
      <c r="B1" s="428" t="s">
        <v>1</v>
      </c>
      <c r="C1" s="428" t="s">
        <v>3</v>
      </c>
      <c r="D1" s="428"/>
      <c r="E1" s="428"/>
      <c r="F1" s="428"/>
      <c r="G1" s="428" t="s">
        <v>36</v>
      </c>
      <c r="H1" s="438" t="s">
        <v>17</v>
      </c>
      <c r="I1" s="438"/>
      <c r="J1" s="438"/>
      <c r="K1" s="433" t="s">
        <v>20</v>
      </c>
      <c r="L1" s="434"/>
    </row>
    <row r="2" spans="1:12" ht="60.75" customHeight="1" thickBot="1" x14ac:dyDescent="0.3">
      <c r="A2" s="436"/>
      <c r="B2" s="437"/>
      <c r="C2" s="57">
        <v>2019</v>
      </c>
      <c r="D2" s="57">
        <v>2020</v>
      </c>
      <c r="E2" s="57">
        <v>2021</v>
      </c>
      <c r="F2" s="57">
        <v>2022</v>
      </c>
      <c r="G2" s="437"/>
      <c r="H2" s="58" t="s">
        <v>18</v>
      </c>
      <c r="I2" s="59" t="s">
        <v>19</v>
      </c>
      <c r="J2" s="59" t="s">
        <v>24</v>
      </c>
      <c r="K2" s="54" t="s">
        <v>92</v>
      </c>
      <c r="L2" s="55" t="s">
        <v>90</v>
      </c>
    </row>
    <row r="3" spans="1:12" ht="36" x14ac:dyDescent="0.25">
      <c r="A3" s="60" t="s">
        <v>4</v>
      </c>
      <c r="B3" s="61">
        <v>0.6</v>
      </c>
      <c r="C3" s="48">
        <v>8.5000000000000006E-2</v>
      </c>
      <c r="D3" s="48">
        <v>0.20100000000000001</v>
      </c>
      <c r="E3" s="48">
        <v>0.35099999999999998</v>
      </c>
      <c r="F3" s="46">
        <v>0.6</v>
      </c>
      <c r="G3" s="62" t="s">
        <v>5</v>
      </c>
      <c r="H3" s="48">
        <v>8.5000000000000006E-2</v>
      </c>
      <c r="I3" s="48">
        <v>2.3E-2</v>
      </c>
      <c r="J3" s="63">
        <f>I3/H3</f>
        <v>0.27058823529411763</v>
      </c>
      <c r="K3" s="48">
        <v>0.20100000000000001</v>
      </c>
      <c r="L3" s="45">
        <v>0</v>
      </c>
    </row>
  </sheetData>
  <mergeCells count="6">
    <mergeCell ref="K1:L1"/>
    <mergeCell ref="A1:A2"/>
    <mergeCell ref="B1:B2"/>
    <mergeCell ref="C1:F1"/>
    <mergeCell ref="G1:G2"/>
    <mergeCell ref="H1:J1"/>
  </mergeCells>
  <conditionalFormatting sqref="J3">
    <cfRule type="cellIs" dxfId="23" priority="1" operator="lessThan">
      <formula>0.4</formula>
    </cfRule>
    <cfRule type="cellIs" dxfId="22" priority="2" operator="between">
      <formula>0.4</formula>
      <formula>0.799</formula>
    </cfRule>
    <cfRule type="cellIs" dxfId="21" priority="3" operator="greaterThanOrEqual">
      <formula>0.8</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Seguimiento III Trim PND_2021</vt:lpstr>
      <vt:lpstr>Hoja4</vt:lpstr>
      <vt:lpstr>Rezagos Metas PND</vt:lpstr>
      <vt:lpstr>Hoja1</vt:lpstr>
      <vt:lpstr>Hoja2</vt:lpstr>
      <vt:lpstr>Hoja3</vt:lpstr>
      <vt:lpstr>Cartografía</vt:lpstr>
      <vt:lpstr>Caracterización geográfica</vt:lpstr>
      <vt:lpstr>Área con catastro actualiz</vt:lpstr>
      <vt:lpstr>SINIC</vt:lpstr>
      <vt:lpstr>Gestores habili</vt:lpstr>
      <vt:lpstr>Geoservicios</vt:lpstr>
      <vt:lpstr>PDET Actuali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Xiomara Ruiz Ballen</dc:creator>
  <cp:lastModifiedBy>Natalia Pineda</cp:lastModifiedBy>
  <dcterms:created xsi:type="dcterms:W3CDTF">2019-08-16T15:25:21Z</dcterms:created>
  <dcterms:modified xsi:type="dcterms:W3CDTF">2021-10-14T18:55:15Z</dcterms:modified>
</cp:coreProperties>
</file>