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XIMENA RUISEÑORA\Desktop\IGAC 2020\Planes y proyectos\INDICADORES IGAC\SINERGIA\Corte Diciembre\"/>
    </mc:Choice>
  </mc:AlternateContent>
  <xr:revisionPtr revIDLastSave="0" documentId="13_ncr:1_{61533BDF-2F3F-400D-AF15-185B67B836FA}" xr6:coauthVersionLast="46" xr6:coauthVersionMax="46" xr10:uidLastSave="{00000000-0000-0000-0000-000000000000}"/>
  <bookViews>
    <workbookView xWindow="-120" yWindow="-120" windowWidth="29040" windowHeight="15840" xr2:uid="{00000000-000D-0000-FFFF-FFFF00000000}"/>
  </bookViews>
  <sheets>
    <sheet name="Metas PND IGAC_2020" sheetId="1" r:id="rId1"/>
    <sheet name="Hoja1" sheetId="11" r:id="rId2"/>
    <sheet name="Hoja2" sheetId="12" r:id="rId3"/>
    <sheet name="Hoja3" sheetId="13" r:id="rId4"/>
    <sheet name="Cartografía" sheetId="2" state="hidden" r:id="rId5"/>
    <sheet name="Caracterización geográfica" sheetId="4" state="hidden" r:id="rId6"/>
    <sheet name="Área con catastro actualiz" sheetId="5" state="hidden" r:id="rId7"/>
    <sheet name="SINIC" sheetId="6" state="hidden" r:id="rId8"/>
    <sheet name="Gestores habili" sheetId="7" state="hidden" r:id="rId9"/>
    <sheet name="Geoservicios" sheetId="8" state="hidden" r:id="rId10"/>
    <sheet name="PDET Actuali" sheetId="10" state="hidden" r:id="rId11"/>
  </sheets>
  <definedNames>
    <definedName name="_xlnm._FilterDatabase" localSheetId="0" hidden="1">'Metas PND IGAC_2020'!$A$3:$BV$3</definedName>
  </definedNames>
  <calcPr calcId="181029"/>
</workbook>
</file>

<file path=xl/calcChain.xml><?xml version="1.0" encoding="utf-8"?>
<calcChain xmlns="http://schemas.openxmlformats.org/spreadsheetml/2006/main">
  <c r="AW11" i="1" l="1"/>
  <c r="Q10" i="1"/>
  <c r="Q9" i="1"/>
  <c r="Q8" i="1"/>
  <c r="Q7" i="1"/>
  <c r="Q6" i="1"/>
  <c r="Q5" i="1"/>
  <c r="Q4" i="1"/>
  <c r="AV9" i="1"/>
  <c r="AW9" i="1" s="1"/>
  <c r="AL9" i="1"/>
  <c r="AI9" i="1"/>
  <c r="AF9" i="1"/>
  <c r="AC9" i="1"/>
  <c r="Z9" i="1"/>
  <c r="W9" i="1"/>
  <c r="T9" i="1"/>
  <c r="AT10" i="1"/>
  <c r="AW8" i="1"/>
  <c r="T8" i="1"/>
  <c r="W6" i="1"/>
  <c r="T6" i="1"/>
  <c r="W4" i="1"/>
  <c r="T4" i="1"/>
  <c r="O4" i="1"/>
  <c r="W11" i="1"/>
  <c r="AW10" i="1"/>
  <c r="AF10" i="1" l="1"/>
  <c r="AU10" i="1"/>
  <c r="AR10" i="1"/>
  <c r="AO10" i="1"/>
  <c r="AL10" i="1"/>
  <c r="AI10" i="1"/>
  <c r="AC10" i="1"/>
  <c r="Z10" i="1"/>
  <c r="W10" i="1"/>
  <c r="T10" i="1"/>
  <c r="E18" i="13"/>
  <c r="E17" i="13"/>
  <c r="D16" i="13"/>
  <c r="E16" i="13" s="1"/>
  <c r="E15" i="13"/>
  <c r="AW6" i="1"/>
  <c r="H10" i="12"/>
  <c r="H8" i="13"/>
  <c r="AW4" i="1"/>
  <c r="E18" i="12"/>
  <c r="E17" i="12"/>
  <c r="D16" i="12"/>
  <c r="D19" i="12" s="1"/>
  <c r="E19" i="12" s="1"/>
  <c r="E15" i="12"/>
  <c r="AU4" i="1"/>
  <c r="D19" i="13" l="1"/>
  <c r="E19" i="13" s="1"/>
  <c r="E16" i="12"/>
  <c r="AU9" i="1"/>
  <c r="AR7" i="1"/>
  <c r="AO9" i="1"/>
  <c r="AO7" i="1"/>
  <c r="AI7" i="1"/>
  <c r="AF7" i="1"/>
  <c r="AC7" i="1"/>
  <c r="AU11" i="1"/>
  <c r="AR11" i="1"/>
  <c r="AO11" i="1"/>
  <c r="AL11" i="1"/>
  <c r="AI11" i="1"/>
  <c r="T11" i="1"/>
  <c r="AU6" i="1"/>
  <c r="AR6" i="1"/>
  <c r="AO6" i="1"/>
  <c r="AL6" i="1"/>
  <c r="AR4" i="1"/>
  <c r="AO4" i="1"/>
  <c r="AL4" i="1"/>
  <c r="AI4" i="1"/>
  <c r="Z4" i="1"/>
  <c r="AR9" i="1" l="1"/>
  <c r="AU8" i="1"/>
  <c r="AI8" i="1" l="1"/>
  <c r="AI6" i="1"/>
  <c r="AI5" i="1"/>
  <c r="AF11" i="1" l="1"/>
  <c r="AF8" i="1"/>
  <c r="AF6" i="1"/>
  <c r="AF4" i="1"/>
  <c r="AF5" i="1" l="1"/>
  <c r="AC5" i="1" l="1"/>
  <c r="AC6" i="1"/>
  <c r="AC8" i="1"/>
  <c r="AC11" i="1"/>
  <c r="AC4" i="1"/>
  <c r="J3" i="10" l="1"/>
  <c r="I3" i="8"/>
  <c r="J3" i="7"/>
  <c r="J3" i="6"/>
  <c r="J3" i="5"/>
  <c r="H3" i="4"/>
  <c r="J3" i="4" s="1"/>
  <c r="J3" i="2"/>
  <c r="Z11" i="1" l="1"/>
  <c r="W8" i="1" l="1"/>
  <c r="Z8" i="1"/>
  <c r="Z7" i="1"/>
  <c r="W7" i="1"/>
  <c r="T7" i="1"/>
  <c r="W5" i="1"/>
  <c r="T5" i="1"/>
  <c r="Z6" i="1"/>
  <c r="Z5" i="1" l="1"/>
  <c r="O11" i="1" l="1"/>
  <c r="M10" i="1" l="1"/>
  <c r="O10" i="1" s="1"/>
  <c r="M9" i="1"/>
  <c r="O9" i="1" s="1"/>
  <c r="M8" i="1"/>
  <c r="O8" i="1" s="1"/>
  <c r="M7" i="1"/>
  <c r="O7" i="1" s="1"/>
  <c r="M6" i="1"/>
  <c r="O6" i="1" s="1"/>
  <c r="M5" i="1"/>
  <c r="O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s>
  <commentList>
    <comment ref="R4" authorId="0" shapeId="0" xr:uid="{49C09B62-9E1C-470C-ADFE-C39D486433BC}">
      <text>
        <r>
          <rPr>
            <sz val="9"/>
            <color indexed="81"/>
            <rFont val="Tahoma"/>
            <family val="2"/>
          </rPr>
          <t xml:space="preserve">
20%</t>
        </r>
      </text>
    </comment>
    <comment ref="AV4" authorId="0" shapeId="0" xr:uid="{E5FECA87-AE30-4475-85BE-8A788ED51F68}">
      <text>
        <r>
          <rPr>
            <b/>
            <sz val="9"/>
            <color indexed="81"/>
            <rFont val="Tahoma"/>
            <family val="2"/>
          </rPr>
          <t xml:space="preserve">XIMENA </t>
        </r>
        <r>
          <rPr>
            <sz val="9"/>
            <color indexed="81"/>
            <rFont val="Tahoma"/>
            <family val="2"/>
          </rPr>
          <t xml:space="preserve">
Ver hoja 2
</t>
        </r>
      </text>
    </comment>
    <comment ref="AV6" authorId="0" shapeId="0" xr:uid="{D3B32C13-B19F-4EF0-B84A-A71883A7A0E4}">
      <text>
        <r>
          <rPr>
            <b/>
            <sz val="9"/>
            <color indexed="81"/>
            <rFont val="Tahoma"/>
            <family val="2"/>
          </rPr>
          <t xml:space="preserve">XIMENA </t>
        </r>
        <r>
          <rPr>
            <sz val="9"/>
            <color indexed="81"/>
            <rFont val="Tahoma"/>
            <family val="2"/>
          </rPr>
          <t xml:space="preserve">
Este valor incluye base, (ver hoja 3)</t>
        </r>
      </text>
    </comment>
  </commentList>
</comments>
</file>

<file path=xl/sharedStrings.xml><?xml version="1.0" encoding="utf-8"?>
<sst xmlns="http://schemas.openxmlformats.org/spreadsheetml/2006/main" count="402" uniqueCount="203">
  <si>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</si>
  <si>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</si>
  <si>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</si>
  <si>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</si>
  <si>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</si>
  <si>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</si>
  <si>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</si>
  <si>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</si>
  <si>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</si>
  <si>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</si>
  <si>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</si>
  <si>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</si>
  <si>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</si>
  <si>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</si>
  <si>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</si>
  <si>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</si>
  <si>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</si>
  <si>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</si>
  <si>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</si>
  <si>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</si>
  <si>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</si>
  <si>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</si>
  <si>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</si>
  <si>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</si>
  <si>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</si>
  <si>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</si>
  <si>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</si>
  <si>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</si>
  <si>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</si>
  <si>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</si>
  <si>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</si>
  <si>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</si>
  <si>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Observaciones</t>
  </si>
  <si>
    <t>Indicador de periodicidad anual</t>
  </si>
  <si>
    <t>Indicador de periodicidad semestral</t>
  </si>
  <si>
    <t>Indicador de periodicidad trimestral</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</si>
  <si>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</si>
  <si>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</si>
  <si>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</si>
  <si>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</si>
  <si>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</si>
  <si>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</si>
  <si>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</si>
  <si>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</si>
  <si>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</si>
  <si>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</si>
  <si>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</si>
  <si>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</si>
  <si>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</si>
  <si>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</si>
  <si>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</si>
  <si>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</si>
  <si>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</si>
  <si>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</si>
  <si>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</si>
  <si>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</si>
  <si>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</si>
  <si>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</si>
  <si>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</si>
  <si>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</si>
  <si>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</si>
  <si>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</si>
  <si>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</si>
  <si>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</si>
  <si>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</si>
  <si>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</si>
  <si>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</si>
  <si>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</si>
  <si>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</si>
  <si>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</si>
  <si>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</si>
  <si>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</si>
  <si>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</si>
  <si>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</si>
  <si>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Avance cuantitativo a mayo de 2020</t>
  </si>
  <si>
    <t>% de avance de meta a mayo de 2020</t>
  </si>
  <si>
    <t>Avance cualitativo a mayo</t>
  </si>
  <si>
    <t>Acuerdos MPC</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</si>
  <si>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</si>
  <si>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</si>
  <si>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</si>
  <si>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</si>
  <si>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</si>
  <si>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</si>
  <si>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</si>
  <si>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</si>
  <si>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</si>
  <si>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</si>
  <si>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</si>
  <si>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</si>
  <si>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</si>
  <si>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</si>
  <si>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Avance cuantitativo a junio de 2020</t>
  </si>
  <si>
    <t>% de avance de meta a junio de 2020</t>
  </si>
  <si>
    <t>Avance cualitativo a junio</t>
  </si>
  <si>
    <t>Meta 2020</t>
  </si>
  <si>
    <t>Oficina de Informática</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</si>
  <si>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</si>
  <si>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</si>
  <si>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</si>
  <si>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</si>
  <si>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</si>
  <si>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</si>
  <si>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</si>
  <si>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FÍSICA CUATRIENIO</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</si>
  <si>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</si>
  <si>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</si>
  <si>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</si>
  <si>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</si>
  <si>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</si>
  <si>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</si>
  <si>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</si>
  <si>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</si>
  <si>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</si>
  <si>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</si>
  <si>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</si>
  <si>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</si>
  <si>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</si>
  <si>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</si>
  <si>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</si>
  <si>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</si>
  <si>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</si>
  <si>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</si>
  <si>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</si>
  <si>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</si>
  <si>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</si>
  <si>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</si>
  <si>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</si>
  <si>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</si>
  <si>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</si>
  <si>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</si>
  <si>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</si>
  <si>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</si>
  <si>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</si>
  <si>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</si>
  <si>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</si>
  <si>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</si>
  <si>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</si>
  <si>
    <t>Avance cuantitativo a octubre 2020</t>
  </si>
  <si>
    <t>% de avance de meta a octubre de 2020</t>
  </si>
  <si>
    <t>Avance cualitativo a octubre</t>
  </si>
  <si>
    <t>En el mes de octubre se avanzó en la actualización del documento de análisis para la fase II del proyecto SIG_Indigena y se realizó reunión de levantamiento de requerimientos para la definición del módulo de seguimiento a las solicitudes de constitución de resguardo realizadas por la Comisión Nacional de Territorios Indigneas - CNTI ante la Agencia Nacional de Tierras - ANT para incorporarlo en el SIG_Indigenas 
Así mismo, se actualizó la estructura académica para el curso de fundamentos de información geográfica para pueblos indígenas y se generó el cronograma de las temáticas que serán dictadas durante dicho curso.</t>
  </si>
  <si>
    <t>Durante el mes de octubre se generó la primera versión del Modelo de Aplicación SINIC bajo el estandar LADM COL, el cual hará la veces de  instrumento interoperable  y repositorio  que permite realizar seguimiento a la información catastral registrada y que se considerará oficial para todos los fines. Este contará con los criterios requeridos por la autoridad reguladora (IGAC) para ejercer sus funciones, teniendo en cuenta  el  Plan Nacional de Desarrollo 2018-2022 “Pacto por Colombia, pacto por la equidad”  que establece  que  “La custodia y gestión de la información catastral corresponde al Estado a través del Instituto Geográfico Agustín Codazzi -IGAC, quien promoverá su producción y difusión. La información generada por los gestores catastrales en ejercicio de sus funciones deberá ser registrada, en los términos y condiciones definidos por la autoridad reguladora, en el Sistema Nacional de Información Catastral-SINIC”.</t>
  </si>
  <si>
    <t>Los 170 municipios PDET cuentan con un total de 39.084.775,05 Ha de área de terreno, se trabajó en la generación de insumos de algunos de los PDET financiados y la ANT inició el trabajo en campo en: Rioblanco, Guamo, Córdoba, Fonseca y se tiene previsto iniciar próximamente en Ciénaga, San Juan del Cesar, Valencia y Ataco.</t>
  </si>
  <si>
    <t>Se emitió acto administrativo por medio del cual se da inicio al  trámite como gestor catastral al municipio de Rionegro - Antioquia,  mediante Resolución 879  del 13 de octubre de 2020.</t>
  </si>
  <si>
    <t>Para el mes de octubre se generaron ortoimágenes de 61.348,84 hectáreas (ha) de los municipios de Floresta, Corrales, Monguí, Marsella, Gámeza, Tópaga y Socha (Boyacá); San Clemente, Santa Ana y Guática (Risaralda); Ataco (Tolima); Gachancipá (Cundinamarca), y Valencia (Córdoba). Así mismo, se generó el Modelo Digital del Terreno para 64.864,18 hectáreas del municipio de Valencia (Córdoba) y Modelo Digital de Elevación de 1.186.200 hectárea localizadas en los departamentos de Meta y Guajira. Se estructuraron bases de datos vectoriales de 65.558,22 hectáreas de los municipios de Marsella, San Clemente (Risaralda), Beteitiva, Cerinza, Tasco, Floresta, Mongui, Gameza, Topaga  y Socha (Boyacá),  Ataco (Tolima) y del 64% restante del municipio de Valencia (Córdoba).
Para un total en el mes de 1.377.971,24 ha generadas o actualizadas de productos cartográficos para un acumulado a la fecha de 7.415.231,20 ha.
Adicionalmente, se capturaron 66 puntos de control terrestre localizados en los departamentos de Bolívar, Antioquia y Tolima; distribuidos en las cabeceras municipales de Sanjacinto, Mahates, María la baja, Carmen de Bolívar (Bolívar) y Átaco y Planadas (Tolima), y en zonas rurales de los municipios Rioblanco y Planadas (Tolima) y Cáceres (Antioquia).
De igual forma, se gestionaron 1.292.369 ha de insumos cartográficos con la  FAC de los departamentos de Guaviare, Arauca, Córdoba y Meta. Se realizó toma de fotografía aérea con Dron del IGAC de 5.547 ha de los departamentos de Cundinamarca y Bolívar; y toma efectuada con el Avión del IGAC de 890.456 ha de los departamentos de Cundinamarca, Tolima. Huila, Meta y Cauca.</t>
  </si>
  <si>
    <t xml:space="preserve">Se finalizó la caracterización territorial de diez (10) municipios: Rioviejo y San Martín de Loba en el departamento de Bolívar; Palmito, Los Palmitos y San Onofre en el departamento de Sucre, y Almaguer, Cajibio, Mercaderes, Piamonte y Sucre en el  departamento del Cauca, correspondiente a 543.080,68 ha, para un total acumulado a la fecha de cuarenta y dos (42) caracterizaciones territoriales correspondiente a 7.906.008,18 ha.
Asi mismo, se realizó el procesamiento de información por los ajustes en las variables de autorreconocimiento étnico y fuentes de contactos de los actores sociales, por requerimientos de especificidades solicitadas por el Banco Mundial y el Banco Interamericano de Desarrollo, para los municipios ya desarrollados.
De otro lado, se adelantó el documento de análisis de POT para los municipios de Guachené, Inza, Padilla, Santa Rosa y Florencia en el departamento de Cauca y Mocoa, San Miguel, Valle del Guamuez y Villagarzón en el departamento de Putumayo. Se continuó con la gestión y procesamiento de información de municipios priorizados, en donde se ha presentado una respuesta tardia por parte de los municipios de Villagarzón, San Miguel, Mocoa, San Miguel y Valle del Guamuez (departamento de Putumayo) en cuanto a los POTs, POMCA, veredas y barrios, generando un leve avance al programado. </t>
  </si>
  <si>
    <t>El avance cuantitativo se reportará en ene/21, cuando entre en vigencia la información del área intervenida para la vigencia 2020. No obstante, se reporta el siguiente avance cualitativo a la fecha:
• Respecto al trabajo de campo realizado en los municipios de Apía, Balboa, Belén de Umbría, Guática, La Ceja, Marsella, Puerto Rico y Santuario, a la fecha se ha efectuado reconocimiento a 12.228 predios y 405 hectáreas.  Se logró el cierre del componente físico con dato único de áreas: geográfico vs. Alfanumérico y la entrega de ortoimágenes y vectores a Alcaldías.
•En la actualización catastral de Cumaribo se ha realizado la recolección de información de 3,0 millones de hectáreas y 1.691 predios. Entre los principales logros se encuentran: Zona Sur terminada en su trabajo de campo, se inició la operación por vía fluvial, modelación método de la renta agropecuaria del suelo, se inició consulta previa resguardos no asistentes en 2018 y parcialmente en el municipio, operación desde Barrancominas, Guainía.</t>
  </si>
  <si>
    <t>En el mes de Octubre se realizó el monitoreo automático de los geoservicios del Portal Geográfico Nacional mediante la herramienta libre GeoHealthCheck optimizando el seguimiento de 262 geoservicios, los cuales se encuentran plenamente operando. 
Así mismo , se realizó la incorporación de 35 geoservicios nuevos en el Portal Geográfico Nacional correspondientes a las siguientes entidades: Área Metropolitana del Valle de Aburrá (AMVA) y del Instituto Amazónico de Investigaciones Científicas SINCHI, que sumaron al inventario 167 nuevas URL las cuales  ya fueron incorporadas al Portal de la ICDE.
Por otra parte, se realizó la  reactivación total de 5 geoservicios que se encontraban en operación parcial del año 2019.</t>
  </si>
  <si>
    <t>% de avance de meta a Noviembre de 2020</t>
  </si>
  <si>
    <t>Avance cualitativo a Noviembre</t>
  </si>
  <si>
    <t>Avance cuantitativo a Noviembre 2020</t>
  </si>
  <si>
    <t xml:space="preserve">En el mes de noviembre se realizó el monitoreo automático de los geoservicios del Portal Geográfico Nacional mediante la herramienta libre GeoHealthCheck optimizando el seguimiento de 302 geoservicios, de estos geoservicios se identifica que 292 geoservcios se encuentran operando plenamente  y 10 geoservicios  se encuentran operando parcialmente.
Así mismo, se realizó la incorporación de 21 nuevos geoservicios correspondientes a las siguientes entidades: CAR Cundinamarca, Corpoboyaca y la Gobernación de Antioquia, estos geoservicios sumaron al inventario 78 nuevas URL.
Por otra parte, se realizó la  reactivación de 12 geoservicios  de años anteriores, los cuales se encuentran operando parcialmente.
En total se tienen 335 geoservicios disponibles en el Portal Geografico Nacional de los cuales 313 geoservicios se encuentran operando plenamente y 22 geoservicios se encuentran operando parcialmente. </t>
  </si>
  <si>
    <t xml:space="preserve">En el mes de noviembre se finalizó la elaboración del documento de análisis, casos de uso y el documento de requerimientos para las nuevas funcionalidades que se desarrollarán para el  SIG Indígena en la vigencia 2021, estos documentos se encuentran en revisión y aprobación por parte de la Comisión Nacional de Territorios Indigenas - CNTI.
Así mismo se realizó con éxito el curso de fundamentos de la información geográfica para pueblos indígenas con la participación de 20 personas de diferentes comunidades indígenas y personal de la  Comisión Nacional de Territorios Indigneas - CNTI.
Por otra parte, se revisaron las incidencias reportadas por la Comisión Nacional de Territorios Indigenas - CNTI y se generó un plan de trabajo con el fin de atender las incidencias encontradas durante el mes de diciembre.
</t>
  </si>
  <si>
    <t>Con el objeto de dar a conocer la utilización adecuada de la herramienta y creación de usuarios para el proceso de actualización, se realizó la transferencia de conocimiento a la Agencia Nacional de Tierras y la Superintendencia de Notariado y Registro,  sobre la utilización del Sistema de Transición en el marco de la Modernización de la Administración de Tierras en Colombia.</t>
  </si>
  <si>
    <t>El avance cuantitativo se reportará en ene/21, cuando entre en vigencia la información del área intervenida para la vigencia 2020. No obstante, se reporta el siguiente avance cualitativo a la fecha:
* El trabajo de identificación predial finalizó en los municipios de La Celia, Balboa, Santuario y Marsella, los cuales junto con el avance en los demás municipios (Apia, Belén de Umbría, Guática, Pueblo Rico) suman 13.383 predios; los demás municipios (Apia, Belén de Umbría, Guática, Pueblo Rico) ya se encuentran en el proceso de consolidación. Adicionalmente, se cerró el estudio de zonas para la determinación del valor catastral de La Celia, Belén de Umbría y Guática.
* En lo que respecta a Cumaribo, se finalizó la identificación predial de 5,6 millones de Ha de las cuáles el 80% corresponde a Resguardos. Se avanza en el proceso de Consulta previa de 5 resguardos que se encuentran parcialmente localizados en el municipio. El estudio de zonas y modelamiento de valor potencial para la determinación del valor catastral se encuentra en fase final.</t>
  </si>
  <si>
    <t>Se emitió acto administrativo de Habilitación al Municipio de Rionegro-Antioquia, mediante Resolución 937 del 3 de  noviembre de 2020.
Se emitió acto administrativo por medio del cual se da inicio al  trámite como gestor catastral al municipio de Sesquilé-Cundinamarca,  mediante Resolución 977  del 19 de noviembre de 2020.
Se emitió acto administrativo por medio del cual se da inicio al  trámite como gestor catastral al municipio de Sincelejo-Sucre,  mediante Resolución 976  del 19 de noviembre de 2020.
De acuerdo con lo anterior, en noviembre se habilitó 1 gestor catastral, quedando a la fecha 17 gestores catastrales habilitados.</t>
  </si>
  <si>
    <t>Se generó un total de 502.820,64 ha de productos cartográficos en los departamentos de  Tolima, Cauca, Bolivar, Norte de Santander, Nariño, Caquetá, Cordoba; Cesar,  Cauca, así: ortoimágenes de 354.291,86 hectáreas, Modelo Digital del Terreno para 51.530 hectáreas y Bases de datos vectoriales de 96.998,78 hectáreas. 
Para un total en el mes de 502.820,64 ha generadas o actualizadas  de productos cartográficos para un acumulado a la fecha de 7.918.051,84 ha.
Asi mismo,  se realizó la Captura y/o evaluación de un total de 604.654 hectáreas distribuidas 20 municipios de los departamentos de Bolivar, Cundinamarca, Huila, Meta, Cauca, Arauca y Vichada; se levantaron un total de 110 puntos de control terrestre localizados en los departamentos de Meta, Huila, Cundinamarca, Cauca, y Tolima y, se ajustaron bloques fotogramétricos de Aerotriangulación en un total de 62.332 hectáreas distribuidas  en ocho (8) cabeceras municipales escala 1:1.000: Maria la Baja, El Carmen de Bolivar, Mahates (Bolivar) y AT de área rural de Planadas (Tolima). 
De otra parte, se gestionaron  1.055.714 ha de insumos cartográficos con la  FAC de los departamentos de Guaviare, Vaupés y Meta;  toma efectuada con Dron del IGAC de 1.548 ha de los municipios de Guamo, Cordoba y San jacinto en el departamento de Bolívar; y toma efectuada con el Avión del IGAC de 694,455 ha de los departamentos de Vichada, Arauca Cundinamarca, Tolima. Huila, Meta y Cauca. Se recibieron  6.775.620 has de  informacion de imágenes Spot compartidas por CORANTIOQUIA que cubren zona centro del Departamento de Antioquia, zona sur del Departamento de Cordoba y zona sur del Departamento de Bolivar .
Adicionalmente, se validaron un total de 140.102,28 hectáreas de vectores restituidos en 3 dimensiones de los departamentos de Tolima, Cauca, Antioquia y Meta.</t>
  </si>
  <si>
    <t>Se finalizó la caracterización territorial de diez (10) municipios: Guachené, Inzá, Padilla, Santa Rosa y Florencia en el Departamento del Cauca; Mocoa, San Miguel, Valle del Guamuez y Villagarzón en Putumayo y Topaipí en Cundinamarca, correspondiente a 878.651,99 ha, para un total acumulado a la fecha de cincuenta  y dos (52) caracterizaciones territoriales correspondiente a 8.784.660,17 ha.
Asi mismo, se adelantó el desarrollo de los documentos de caracterización territorial para los municipios de Gachancipá en el departamento de Cundinamarca, San José del Fragua, La Montañita, Florencia, San Vicente del Caguán, Valparaíso y Belén de Los Andaquíes en Caquetá, Puerto Gaitán y La Macarena en Meta, Planadas en el Tolima, y Purísima y  San Andrés de Sotavento en Córdoba; y  de análisis de POT para los municipios de Gachancipá en Cundinamarca, Florencia, La Montañita, San José del Fragua y El Doncello en Caquetá, La Macarena y Puerto Gaitán en Meta, San Andrés de Sotavento y Purísima en Córdoba.</t>
  </si>
  <si>
    <t>% de avance de meta a Diciembre de 2020</t>
  </si>
  <si>
    <t>Avance cualitativo a Diciembre</t>
  </si>
  <si>
    <t xml:space="preserve">Avance cuantitativo a Diciembre 2020 </t>
  </si>
  <si>
    <t>Avance cuantitativo acumulado vigencias 2019-2020</t>
  </si>
  <si>
    <t>AÑO</t>
  </si>
  <si>
    <t>META</t>
  </si>
  <si>
    <t>EJECUTADO</t>
  </si>
  <si>
    <t>ACUMULADO</t>
  </si>
  <si>
    <t>%</t>
  </si>
  <si>
    <t>Área (ha)</t>
  </si>
  <si>
    <t>Línea base</t>
  </si>
  <si>
    <t>CARTOGRAFÍA</t>
  </si>
  <si>
    <t>Año</t>
  </si>
  <si>
    <t>Meta</t>
  </si>
  <si>
    <t>Avance</t>
  </si>
  <si>
    <t>% Avance</t>
  </si>
  <si>
    <t>Meta real</t>
  </si>
  <si>
    <t>Línea Base</t>
  </si>
  <si>
    <t>-</t>
  </si>
  <si>
    <t>Ene-Dic 2019</t>
  </si>
  <si>
    <t>Ene-Dic 2020</t>
  </si>
  <si>
    <t>Ene-Dic 2021</t>
  </si>
  <si>
    <t>Ene-Dic 2022</t>
  </si>
  <si>
    <t>2018-2022</t>
  </si>
  <si>
    <t>12.5%</t>
  </si>
  <si>
    <t>10.5%</t>
  </si>
  <si>
    <r>
      <t>Para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acumulado a la fecha de 13.418.129 ha.
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t>
    </r>
    <r>
      <rPr>
        <b/>
        <sz val="12"/>
        <color theme="1"/>
        <rFont val="Arial"/>
        <family val="2"/>
      </rPr>
      <t>, Lo anterior suma un cumplimiento acumulado 2019-2020 del 64,18% respecto a la meta del 23%,</t>
    </r>
  </si>
  <si>
    <r>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t>
    </r>
    <r>
      <rPr>
        <b/>
        <sz val="12"/>
        <color rgb="FF000000"/>
        <rFont val="Arial"/>
        <family val="2"/>
      </rPr>
      <t xml:space="preserve"> Lo anterior suma un cumplimiento acumulado 2019-2020 del 100,62% respecto a la meta del 37%,</t>
    </r>
  </si>
  <si>
    <r>
      <t xml:space="preserve">3% (Año 2019)+11,76%(Año 2020)= </t>
    </r>
    <r>
      <rPr>
        <b/>
        <sz val="12"/>
        <color theme="1"/>
        <rFont val="Arial"/>
        <family val="2"/>
      </rPr>
      <t>14,76% ( acumulado)</t>
    </r>
    <r>
      <rPr>
        <sz val="12"/>
        <color theme="1"/>
        <rFont val="Arial"/>
        <family val="2"/>
      </rPr>
      <t xml:space="preserve">
El avance acumulado 2019 -2020  en ha es de 17.238.844,5, sin embargo teniendo en cuenta que para el año 2019 se registro el 3% equivalente a 3.422.898,1 ha y no se tuvo en cuenta el real ejecutado: 3.820.715,52 ha; se toma el valor total de 16.841.027,10 ( 13.418.129+3.422.898,1)
</t>
    </r>
    <r>
      <rPr>
        <b/>
        <sz val="12"/>
        <color theme="1"/>
        <rFont val="Arial"/>
        <family val="2"/>
      </rPr>
      <t xml:space="preserve">
Ver hoja 2</t>
    </r>
  </si>
  <si>
    <r>
      <t>12,5% (Línea Base) + 10,5% (Año 2019) +14,23% (Año 2020)=</t>
    </r>
    <r>
      <rPr>
        <b/>
        <sz val="12"/>
        <color theme="1"/>
        <rFont val="Arial"/>
        <family val="2"/>
      </rPr>
      <t xml:space="preserve"> 37,23% (Acumulado)
Ver hoja 3</t>
    </r>
  </si>
  <si>
    <t>CARACTERIZACIÓN</t>
  </si>
  <si>
    <r>
      <t xml:space="preserve">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25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t>
    </r>
    <r>
      <rPr>
        <b/>
        <sz val="12"/>
        <color rgb="FF000000"/>
        <rFont val="Arial"/>
        <family val="2"/>
      </rPr>
      <t>Lo anterior suma un cumplimiento acumulado 2019-2020 de 372 geoservicios, con  respecto a la meta de 200, cumpliendo en un 186%,</t>
    </r>
  </si>
  <si>
    <r>
      <rPr>
        <b/>
        <sz val="12"/>
        <color theme="1"/>
        <rFont val="Arial"/>
        <family val="2"/>
      </rPr>
      <t>Para la vigencia 2020, respecto a la implementación del Sistema Nacional de Información de Catastro Multipróposito, se logró un porcentaje  de cumplimiento del 15% y un acumulado para las vigencias 2019-2020 del 20%</t>
    </r>
    <r>
      <rPr>
        <sz val="12"/>
        <color theme="1"/>
        <rFont val="Arial"/>
        <family val="2"/>
      </rPr>
      <t>.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r>
  </si>
  <si>
    <r>
      <t xml:space="preserve">5% (Año 2019) + 15%(Año 2020)= </t>
    </r>
    <r>
      <rPr>
        <b/>
        <sz val="12"/>
        <color theme="1"/>
        <rFont val="Arial"/>
        <family val="2"/>
      </rPr>
      <t>20% (Acumulado)</t>
    </r>
  </si>
  <si>
    <r>
      <t xml:space="preserve">185(Año 2019) + 187 (Año 2020)= </t>
    </r>
    <r>
      <rPr>
        <b/>
        <sz val="12"/>
        <color theme="1"/>
        <rFont val="Arial"/>
        <family val="2"/>
      </rPr>
      <t>372 (Acumulado)</t>
    </r>
  </si>
  <si>
    <r>
      <t>8 (Año 2019) + 11 (Año 2020) =</t>
    </r>
    <r>
      <rPr>
        <b/>
        <sz val="12"/>
        <color theme="1"/>
        <rFont val="Arial"/>
        <family val="2"/>
      </rPr>
      <t xml:space="preserve"> 19 (Acumulado)</t>
    </r>
  </si>
  <si>
    <r>
      <t xml:space="preserve">Se emitió acto administrativo de Habilitación al Municipio de Sincelejo-Sucre, mediante Resolución 1030 del 10 de  diciembre de 2020.
Se emitió acto administrativo de Habilitación al Municipio de Sesquilé-Cundinamarca, mediante Resolución 1057 del 16 de  diciembre de 2020.
De acuerdo con lo anterior, en diciembre se habilitaron 2 gestores catastrales, quedando a la fecha 19 gestores catastrales habilitados.
</t>
    </r>
    <r>
      <rPr>
        <b/>
        <sz val="12"/>
        <color theme="1"/>
        <rFont val="Arial"/>
        <family val="2"/>
      </rPr>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r>
  </si>
  <si>
    <t>Se estima que los Gestores catastrales entregarán la información el 20 de enero , una vez se realice la revisión  en el sistema nacional catastral con el fin de obtener la información del área geográfica con catastro actualizado y reportar las cifras finales corte diciembre 2020</t>
  </si>
  <si>
    <t>Ver Observación en "Avance Cualitativo a Diciembre"</t>
  </si>
  <si>
    <t>% avance acumulado
vigencias 2019 -2020</t>
  </si>
  <si>
    <t>Periodicidad</t>
  </si>
  <si>
    <t>Este indicador se debe revisar con DNP para verificar si es de tipo acumulación o suma</t>
  </si>
  <si>
    <r>
      <t xml:space="preserve">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t>
    </r>
    <r>
      <rPr>
        <b/>
        <sz val="12"/>
        <color theme="1"/>
        <rFont val="Arial"/>
        <family val="2"/>
      </rPr>
      <t>Por otra parte, para la vigencia 2020 se programó una meta del 30% de implementación del programa marco de operación del sistema de información Geográfico -SIG Indígena, la cual se cumplió al 100%</t>
    </r>
    <r>
      <rPr>
        <sz val="12"/>
        <color theme="1"/>
        <rFont val="Arial"/>
        <family val="2"/>
      </rPr>
      <t xml:space="preserve"> desarrollando las siguientes etapas: 1.) Planeación del proyecto vigencia 2020 (8%), 2.) Análisis de nuevas funcionalidades para el SIG indígenas (9%),3.) Transferencia de Conocimiento (10%) y 4.) Soporte de funcionamiento del SIG Indígenas (3%)         
        </t>
    </r>
  </si>
  <si>
    <t>Pendiente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</si>
</sst>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0.0%"/>
    <numFmt numFmtId="165" formatCode="_-* #,##0_-;\-* #,##0_-;_-* &quot;-&quot;??_-;_-@_-"/>
    <numFmt numFmtId="166" formatCode="[$-10409]#,##0.00"/>
  </numFmts>
  <fonts count="37"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
      <sz val="12"/>
      <name val="Arial"/>
      <family val="2"/>
    </font>
    <font>
      <sz val="11"/>
      <color rgb="FF000000"/>
      <name val="Calibri"/>
      <family val="2"/>
      <scheme val="minor"/>
    </font>
    <font>
      <sz val="16"/>
      <color theme="1"/>
      <name val="Arial"/>
      <family val="2"/>
    </font>
    <font>
      <sz val="11"/>
      <color rgb="FF000000"/>
      <name val="Arial"/>
      <family val="2"/>
    </font>
    <font>
      <sz val="12"/>
      <color rgb="FF000000"/>
      <name val="Arial"/>
      <family val="2"/>
    </font>
    <font>
      <b/>
      <sz val="11"/>
      <color theme="1"/>
      <name val="Calibri"/>
      <family val="2"/>
      <scheme val="minor"/>
    </font>
    <font>
      <sz val="9"/>
      <color rgb="FF000000"/>
      <name val="Arial"/>
      <family val="2"/>
    </font>
    <font>
      <i/>
      <sz val="11"/>
      <color rgb="FF000000"/>
      <name val="Calibri"/>
      <family val="2"/>
      <scheme val="minor"/>
    </font>
    <font>
      <sz val="9"/>
      <color indexed="81"/>
      <name val="Tahoma"/>
      <family val="2"/>
    </font>
    <font>
      <b/>
      <sz val="9"/>
      <color indexed="81"/>
      <name val="Tahoma"/>
      <family val="2"/>
    </font>
    <font>
      <b/>
      <sz val="12"/>
      <color theme="1"/>
      <name val="Arial"/>
      <family val="2"/>
    </font>
    <font>
      <b/>
      <sz val="9"/>
      <color rgb="FF000000"/>
      <name val="Arial"/>
      <family val="2"/>
    </font>
    <font>
      <b/>
      <sz val="10"/>
      <name val="Arial"/>
      <family val="2"/>
    </font>
    <font>
      <b/>
      <sz val="9"/>
      <color indexed="8"/>
      <name val="Tahoma"/>
      <family val="2"/>
    </font>
    <font>
      <sz val="8"/>
      <color indexed="8"/>
      <name val="Tahoma"/>
      <family val="2"/>
    </font>
    <font>
      <b/>
      <sz val="8"/>
      <color indexed="8"/>
      <name val="Tahoma"/>
      <family val="2"/>
    </font>
    <font>
      <b/>
      <sz val="12"/>
      <color rgb="FF000000"/>
      <name val="Arial"/>
      <family val="2"/>
    </font>
    <font>
      <b/>
      <sz val="10"/>
      <color theme="1"/>
      <name val="Arial"/>
      <family val="2"/>
    </font>
    <font>
      <b/>
      <sz val="9"/>
      <color theme="1"/>
      <name val="Tahoma"/>
      <family val="2"/>
    </font>
    <font>
      <sz val="8"/>
      <color theme="1"/>
      <name val="Tahoma"/>
      <family val="2"/>
    </font>
    <font>
      <b/>
      <sz val="8"/>
      <color theme="1"/>
      <name val="Tahoma"/>
      <family val="2"/>
    </font>
    <font>
      <sz val="14"/>
      <name val="Arial"/>
      <family val="2"/>
    </font>
    <font>
      <sz val="14"/>
      <color rgb="FF000000"/>
      <name val="Arial"/>
      <family val="2"/>
    </font>
    <font>
      <sz val="14"/>
      <color rgb="FFFF0000"/>
      <name val="Arial"/>
      <family val="2"/>
    </font>
    <font>
      <b/>
      <sz val="48"/>
      <color theme="1"/>
      <name val="Arial"/>
      <family val="2"/>
    </font>
    <font>
      <b/>
      <sz val="16"/>
      <name val="Arial"/>
      <family val="2"/>
    </font>
    <font>
      <b/>
      <sz val="25"/>
      <color theme="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8" tint="0.39997558519241921"/>
        <bgColor indexed="64"/>
      </patternFill>
    </fill>
    <fill>
      <patternFill patternType="lightUp">
        <bgColor rgb="FFD2D2D2"/>
      </patternFill>
    </fill>
    <fill>
      <patternFill patternType="darkUp">
        <fgColor rgb="FF808080"/>
        <bgColor rgb="FFCACACA"/>
      </patternFill>
    </fill>
    <fill>
      <patternFill patternType="solid">
        <fgColor theme="4" tint="0.59999389629810485"/>
        <bgColor indexed="64"/>
      </patternFill>
    </fill>
    <fill>
      <patternFill patternType="solid">
        <fgColor theme="0"/>
        <bgColor indexed="0"/>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medium">
        <color rgb="FFBFBFBF"/>
      </left>
      <right style="medium">
        <color rgb="FFBFBFBF"/>
      </right>
      <top style="medium">
        <color rgb="FFBFBFBF"/>
      </top>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cellStyleXfs>
  <cellXfs count="254">
    <xf numFmtId="0" fontId="0" fillId="0" borderId="0" xfId="0"/>
    <xf numFmtId="0" fontId="2" fillId="0" borderId="0" xfId="0" applyFont="1"/>
    <xf numFmtId="0" fontId="2" fillId="0" borderId="0" xfId="0" applyFont="1" applyBorder="1"/>
    <xf numFmtId="0" fontId="2" fillId="0" borderId="0" xfId="0" applyFont="1" applyFill="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0" fontId="7" fillId="0" borderId="9"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0" fontId="2" fillId="0" borderId="0" xfId="0" applyFont="1" applyBorder="1" applyAlignment="1"/>
    <xf numFmtId="9" fontId="7" fillId="3" borderId="14"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9"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3" borderId="16"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0" borderId="11" xfId="0" applyFont="1" applyFill="1" applyBorder="1" applyAlignment="1">
      <alignment vertical="center" wrapText="1"/>
    </xf>
    <xf numFmtId="0" fontId="2" fillId="3" borderId="17" xfId="0" applyFont="1" applyFill="1" applyBorder="1" applyAlignment="1">
      <alignment horizontal="justify" vertical="center" wrapText="1"/>
    </xf>
    <xf numFmtId="0" fontId="4" fillId="2" borderId="12" xfId="0" applyFont="1" applyFill="1" applyBorder="1" applyAlignment="1">
      <alignment horizontal="center" vertical="center" wrapText="1"/>
    </xf>
    <xf numFmtId="0" fontId="2" fillId="0" borderId="1" xfId="0" applyFont="1" applyFill="1" applyBorder="1" applyAlignment="1">
      <alignment vertical="center" wrapText="1"/>
    </xf>
    <xf numFmtId="0" fontId="7" fillId="3" borderId="9" xfId="0" applyFont="1" applyFill="1" applyBorder="1" applyAlignment="1">
      <alignment horizontal="center" vertical="center"/>
    </xf>
    <xf numFmtId="9" fontId="7" fillId="0" borderId="9" xfId="1" applyNumberFormat="1" applyFont="1" applyFill="1" applyBorder="1" applyAlignment="1">
      <alignment horizontal="center" vertical="center"/>
    </xf>
    <xf numFmtId="9" fontId="7" fillId="0" borderId="9" xfId="1" applyFont="1" applyFill="1" applyBorder="1" applyAlignment="1">
      <alignment horizontal="center" vertical="center"/>
    </xf>
    <xf numFmtId="0" fontId="7" fillId="3" borderId="14" xfId="0" applyFont="1" applyFill="1" applyBorder="1" applyAlignment="1">
      <alignment horizontal="left" vertical="center" wrapText="1"/>
    </xf>
    <xf numFmtId="164" fontId="7" fillId="0" borderId="9" xfId="1" applyNumberFormat="1" applyFont="1" applyFill="1" applyBorder="1" applyAlignment="1">
      <alignment horizontal="center" vertical="center"/>
    </xf>
    <xf numFmtId="164" fontId="7" fillId="3" borderId="9" xfId="1" applyNumberFormat="1" applyFont="1" applyFill="1" applyBorder="1" applyAlignment="1">
      <alignment horizontal="center" vertical="center"/>
    </xf>
    <xf numFmtId="9" fontId="8" fillId="3" borderId="9" xfId="0" applyNumberFormat="1" applyFont="1" applyFill="1" applyBorder="1" applyAlignment="1">
      <alignment horizontal="center" vertical="center"/>
    </xf>
    <xf numFmtId="9" fontId="7" fillId="0" borderId="9" xfId="3" applyNumberFormat="1"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10" fontId="7" fillId="0" borderId="9" xfId="3" applyNumberFormat="1" applyFont="1" applyFill="1" applyBorder="1" applyAlignment="1">
      <alignment horizontal="center" vertical="center"/>
    </xf>
    <xf numFmtId="0" fontId="4" fillId="2" borderId="21"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7" fillId="0" borderId="9" xfId="0" applyFont="1" applyBorder="1" applyAlignment="1">
      <alignment vertical="center" wrapText="1"/>
    </xf>
    <xf numFmtId="9" fontId="7" fillId="3" borderId="9" xfId="0" applyNumberFormat="1" applyFont="1" applyFill="1" applyBorder="1" applyAlignment="1">
      <alignment horizontal="center" vertical="center" wrapText="1"/>
    </xf>
    <xf numFmtId="0" fontId="7" fillId="0" borderId="9" xfId="0" applyFont="1" applyBorder="1" applyAlignment="1">
      <alignment wrapText="1"/>
    </xf>
    <xf numFmtId="9" fontId="8" fillId="3" borderId="9" xfId="1" applyFont="1" applyFill="1" applyBorder="1" applyAlignment="1">
      <alignment horizontal="center" vertical="center"/>
    </xf>
    <xf numFmtId="0" fontId="7" fillId="0" borderId="9" xfId="0" applyFont="1" applyBorder="1" applyAlignment="1">
      <alignment horizontal="center" wrapText="1"/>
    </xf>
    <xf numFmtId="0" fontId="7" fillId="0" borderId="9" xfId="0" applyFont="1" applyBorder="1" applyAlignment="1">
      <alignment horizontal="center" vertical="center" wrapText="1"/>
    </xf>
    <xf numFmtId="165" fontId="7" fillId="3" borderId="9" xfId="3" applyNumberFormat="1" applyFont="1" applyFill="1" applyBorder="1" applyAlignment="1">
      <alignment horizontal="center" vertical="center" wrapText="1"/>
    </xf>
    <xf numFmtId="165" fontId="7" fillId="3" borderId="9" xfId="3" applyNumberFormat="1" applyFont="1" applyFill="1" applyBorder="1" applyAlignment="1">
      <alignment vertical="center" wrapText="1"/>
    </xf>
    <xf numFmtId="0" fontId="2" fillId="3" borderId="14"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3" borderId="14"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wrapText="1"/>
    </xf>
    <xf numFmtId="0" fontId="10" fillId="0" borderId="1" xfId="0" applyFont="1" applyBorder="1" applyAlignment="1">
      <alignment vertical="center" wrapText="1"/>
    </xf>
    <xf numFmtId="9" fontId="2" fillId="0" borderId="0" xfId="1" applyFont="1" applyBorder="1"/>
    <xf numFmtId="0" fontId="11" fillId="0" borderId="33" xfId="0" applyFont="1" applyBorder="1" applyAlignment="1">
      <alignment horizontal="left" vertical="center" wrapText="1"/>
    </xf>
    <xf numFmtId="164" fontId="12" fillId="3" borderId="14" xfId="0" applyNumberFormat="1" applyFont="1" applyFill="1" applyBorder="1" applyAlignment="1">
      <alignment horizontal="center" vertical="center"/>
    </xf>
    <xf numFmtId="9" fontId="12" fillId="3" borderId="11" xfId="0" applyNumberFormat="1" applyFont="1" applyFill="1" applyBorder="1" applyAlignment="1">
      <alignment horizontal="center" vertical="center"/>
    </xf>
    <xf numFmtId="9" fontId="2" fillId="0" borderId="0" xfId="1" applyFont="1" applyFill="1"/>
    <xf numFmtId="4" fontId="2" fillId="0" borderId="0" xfId="0" applyNumberFormat="1" applyFont="1" applyFill="1"/>
    <xf numFmtId="4" fontId="13" fillId="0" borderId="0" xfId="0" applyNumberFormat="1" applyFont="1"/>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39" xfId="0" applyFont="1" applyBorder="1" applyAlignment="1">
      <alignment horizontal="left" vertical="center" wrapText="1"/>
    </xf>
    <xf numFmtId="42" fontId="2" fillId="0" borderId="0" xfId="4" applyFont="1" applyBorder="1"/>
    <xf numFmtId="9" fontId="2" fillId="0" borderId="0" xfId="0" applyNumberFormat="1" applyFont="1" applyFill="1"/>
    <xf numFmtId="0" fontId="2" fillId="0" borderId="1" xfId="0" applyFont="1" applyBorder="1" applyAlignment="1">
      <alignment horizontal="left" vertical="top" wrapText="1"/>
    </xf>
    <xf numFmtId="4" fontId="0" fillId="0" borderId="0" xfId="0" applyNumberFormat="1"/>
    <xf numFmtId="4" fontId="16" fillId="0" borderId="0" xfId="0" applyNumberFormat="1" applyFont="1"/>
    <xf numFmtId="10" fontId="2" fillId="0" borderId="0" xfId="0" applyNumberFormat="1" applyFont="1" applyFill="1"/>
    <xf numFmtId="3" fontId="17" fillId="0" borderId="0" xfId="0" applyNumberFormat="1" applyFont="1"/>
    <xf numFmtId="164" fontId="2" fillId="0" borderId="0" xfId="1" applyNumberFormat="1" applyFont="1" applyFill="1"/>
    <xf numFmtId="10" fontId="2" fillId="0" borderId="1" xfId="0" applyNumberFormat="1" applyFont="1" applyFill="1" applyBorder="1" applyAlignment="1">
      <alignment vertical="center" wrapText="1"/>
    </xf>
    <xf numFmtId="0" fontId="16" fillId="0" borderId="43" xfId="0" applyFont="1" applyBorder="1" applyAlignment="1">
      <alignment horizontal="center" vertical="center"/>
    </xf>
    <xf numFmtId="10" fontId="16" fillId="0" borderId="44" xfId="0" applyNumberFormat="1" applyFont="1" applyBorder="1" applyAlignment="1">
      <alignment horizontal="center" vertical="center"/>
    </xf>
    <xf numFmtId="4" fontId="16" fillId="0" borderId="44" xfId="0" applyNumberFormat="1" applyFont="1" applyBorder="1" applyAlignment="1">
      <alignment horizontal="right" vertical="center"/>
    </xf>
    <xf numFmtId="0" fontId="16" fillId="8" borderId="44" xfId="0" applyFont="1" applyFill="1" applyBorder="1" applyAlignment="1">
      <alignment horizontal="center" vertical="center"/>
    </xf>
    <xf numFmtId="0" fontId="16" fillId="8" borderId="44" xfId="0" applyFont="1" applyFill="1" applyBorder="1" applyAlignment="1">
      <alignment horizontal="right" vertical="center"/>
    </xf>
    <xf numFmtId="0" fontId="16" fillId="8" borderId="44" xfId="0" applyFont="1" applyFill="1" applyBorder="1" applyAlignment="1">
      <alignment horizontal="right" vertical="center" wrapText="1"/>
    </xf>
    <xf numFmtId="9" fontId="16" fillId="0" borderId="44" xfId="0" applyNumberFormat="1" applyFont="1" applyBorder="1" applyAlignment="1">
      <alignment horizontal="center" vertical="center"/>
    </xf>
    <xf numFmtId="0" fontId="16" fillId="9" borderId="44" xfId="0" applyFont="1" applyFill="1" applyBorder="1" applyAlignment="1">
      <alignment horizontal="center" vertical="center" wrapText="1"/>
    </xf>
    <xf numFmtId="3" fontId="16" fillId="0" borderId="44" xfId="0" applyNumberFormat="1" applyFont="1" applyBorder="1" applyAlignment="1">
      <alignment horizontal="right" vertical="center"/>
    </xf>
    <xf numFmtId="10" fontId="16" fillId="0" borderId="44" xfId="0" applyNumberFormat="1" applyFont="1" applyBorder="1" applyAlignment="1">
      <alignment horizontal="right" vertical="center" wrapText="1"/>
    </xf>
    <xf numFmtId="4" fontId="16" fillId="0" borderId="44" xfId="0" applyNumberFormat="1" applyFont="1" applyBorder="1" applyAlignment="1">
      <alignment horizontal="right" vertical="center" wrapText="1"/>
    </xf>
    <xf numFmtId="0" fontId="21" fillId="10" borderId="44" xfId="0" applyFont="1" applyFill="1" applyBorder="1" applyAlignment="1">
      <alignment horizontal="center" vertical="center"/>
    </xf>
    <xf numFmtId="0" fontId="21" fillId="10" borderId="44" xfId="0" applyFont="1" applyFill="1" applyBorder="1" applyAlignment="1">
      <alignment horizontal="center" vertical="center" wrapText="1"/>
    </xf>
    <xf numFmtId="0" fontId="21" fillId="0" borderId="43" xfId="0" applyFont="1" applyBorder="1" applyAlignment="1">
      <alignment horizontal="center" vertical="center"/>
    </xf>
    <xf numFmtId="0" fontId="22" fillId="3" borderId="1" xfId="0" applyFont="1" applyFill="1" applyBorder="1"/>
    <xf numFmtId="0" fontId="0" fillId="3" borderId="1" xfId="0" applyFill="1" applyBorder="1"/>
    <xf numFmtId="0" fontId="23" fillId="11" borderId="1" xfId="0" applyFont="1" applyFill="1" applyBorder="1" applyAlignment="1" applyProtection="1">
      <alignment horizontal="center" vertical="top" wrapText="1" readingOrder="1"/>
      <protection locked="0"/>
    </xf>
    <xf numFmtId="0" fontId="24" fillId="11" borderId="1" xfId="0" applyFont="1" applyFill="1" applyBorder="1" applyAlignment="1" applyProtection="1">
      <alignment vertical="center" wrapText="1" readingOrder="1"/>
      <protection locked="0"/>
    </xf>
    <xf numFmtId="10" fontId="24" fillId="11" borderId="1" xfId="0" applyNumberFormat="1" applyFont="1" applyFill="1" applyBorder="1" applyAlignment="1" applyProtection="1">
      <alignment horizontal="right" vertical="center" wrapText="1" readingOrder="1"/>
      <protection locked="0"/>
    </xf>
    <xf numFmtId="0" fontId="25" fillId="11" borderId="1" xfId="0" applyFont="1" applyFill="1" applyBorder="1" applyAlignment="1" applyProtection="1">
      <alignment vertical="center" wrapText="1" readingOrder="1"/>
      <protection locked="0"/>
    </xf>
    <xf numFmtId="10" fontId="25" fillId="11" borderId="1" xfId="0" applyNumberFormat="1" applyFont="1" applyFill="1" applyBorder="1" applyAlignment="1" applyProtection="1">
      <alignment horizontal="right" vertical="center" wrapText="1" readingOrder="1"/>
      <protection locked="0"/>
    </xf>
    <xf numFmtId="10" fontId="2" fillId="0" borderId="0" xfId="1" applyNumberFormat="1" applyFont="1" applyFill="1"/>
    <xf numFmtId="0" fontId="16" fillId="0" borderId="44" xfId="0" applyFont="1" applyBorder="1" applyAlignment="1">
      <alignment horizontal="center" vertical="center"/>
    </xf>
    <xf numFmtId="0" fontId="16" fillId="9" borderId="44" xfId="0" applyFont="1" applyFill="1" applyBorder="1" applyAlignment="1">
      <alignment horizontal="right" vertical="center" wrapText="1"/>
    </xf>
    <xf numFmtId="10" fontId="0" fillId="0" borderId="0" xfId="0" applyNumberFormat="1"/>
    <xf numFmtId="4" fontId="15" fillId="0" borderId="0" xfId="0" applyNumberFormat="1" applyFont="1"/>
    <xf numFmtId="9" fontId="0" fillId="0" borderId="0" xfId="1" applyFont="1"/>
    <xf numFmtId="10" fontId="0" fillId="0" borderId="0" xfId="1" applyNumberFormat="1" applyFont="1"/>
    <xf numFmtId="0" fontId="27" fillId="3" borderId="0" xfId="0" applyFont="1" applyFill="1"/>
    <xf numFmtId="0" fontId="0" fillId="3" borderId="0" xfId="0" applyFont="1" applyFill="1"/>
    <xf numFmtId="0" fontId="28" fillId="11" borderId="45" xfId="0" applyFont="1" applyFill="1" applyBorder="1" applyAlignment="1" applyProtection="1">
      <alignment horizontal="center" vertical="top" wrapText="1" readingOrder="1"/>
      <protection locked="0"/>
    </xf>
    <xf numFmtId="0" fontId="29" fillId="11" borderId="45" xfId="0" applyFont="1" applyFill="1" applyBorder="1" applyAlignment="1" applyProtection="1">
      <alignment vertical="center" wrapText="1" readingOrder="1"/>
      <protection locked="0"/>
    </xf>
    <xf numFmtId="0" fontId="29" fillId="11" borderId="45" xfId="0" applyFont="1" applyFill="1" applyBorder="1" applyAlignment="1" applyProtection="1">
      <alignment horizontal="right" vertical="center" wrapText="1" readingOrder="1"/>
      <protection locked="0"/>
    </xf>
    <xf numFmtId="166" fontId="29" fillId="11" borderId="45" xfId="0" applyNumberFormat="1" applyFont="1" applyFill="1" applyBorder="1" applyAlignment="1" applyProtection="1">
      <alignment horizontal="right" vertical="center" wrapText="1" readingOrder="1"/>
      <protection locked="0"/>
    </xf>
    <xf numFmtId="10" fontId="29" fillId="11" borderId="45" xfId="0" applyNumberFormat="1" applyFont="1" applyFill="1" applyBorder="1" applyAlignment="1" applyProtection="1">
      <alignment horizontal="right" vertical="center" wrapText="1" readingOrder="1"/>
      <protection locked="0"/>
    </xf>
    <xf numFmtId="10" fontId="30" fillId="11" borderId="45" xfId="0" applyNumberFormat="1" applyFont="1" applyFill="1" applyBorder="1" applyAlignment="1" applyProtection="1">
      <alignment horizontal="right" vertical="center" wrapText="1" readingOrder="1"/>
      <protection locked="0"/>
    </xf>
    <xf numFmtId="0" fontId="29" fillId="11" borderId="46" xfId="0" applyFont="1" applyFill="1" applyBorder="1" applyAlignment="1" applyProtection="1">
      <alignment horizontal="right" vertical="center" wrapText="1" readingOrder="1"/>
      <protection locked="0"/>
    </xf>
    <xf numFmtId="10" fontId="30" fillId="11" borderId="47" xfId="0" applyNumberFormat="1" applyFont="1" applyFill="1" applyBorder="1" applyAlignment="1" applyProtection="1">
      <alignment horizontal="right" vertical="center" wrapText="1" readingOrder="1"/>
      <protection locked="0"/>
    </xf>
    <xf numFmtId="0" fontId="0" fillId="3" borderId="1" xfId="0" applyFont="1" applyFill="1" applyBorder="1"/>
    <xf numFmtId="9" fontId="2" fillId="3" borderId="1" xfId="0" applyNumberFormat="1" applyFont="1" applyFill="1" applyBorder="1" applyAlignment="1">
      <alignment horizontal="right" vertical="center" wrapText="1"/>
    </xf>
    <xf numFmtId="9" fontId="2" fillId="0" borderId="1" xfId="1" applyFont="1" applyFill="1" applyBorder="1" applyAlignment="1">
      <alignment vertical="center" wrapText="1"/>
    </xf>
    <xf numFmtId="0" fontId="7" fillId="3" borderId="11" xfId="0" applyFont="1" applyFill="1" applyBorder="1" applyAlignment="1">
      <alignment horizontal="left" vertical="center" wrapText="1"/>
    </xf>
    <xf numFmtId="0" fontId="2" fillId="0" borderId="1" xfId="0" applyFont="1" applyFill="1" applyBorder="1" applyAlignment="1">
      <alignment horizontal="justify" vertical="top" wrapText="1"/>
    </xf>
    <xf numFmtId="0" fontId="2" fillId="0" borderId="0" xfId="0" applyFont="1" applyFill="1" applyAlignment="1">
      <alignment horizontal="center"/>
    </xf>
    <xf numFmtId="43" fontId="7" fillId="0" borderId="3" xfId="3" applyFont="1" applyFill="1" applyBorder="1" applyAlignment="1">
      <alignment horizontal="right" vertical="center"/>
    </xf>
    <xf numFmtId="43" fontId="7" fillId="0" borderId="2" xfId="3" applyFont="1" applyFill="1" applyBorder="1" applyAlignment="1">
      <alignment horizontal="right" vertical="center"/>
    </xf>
    <xf numFmtId="165" fontId="7" fillId="0" borderId="1" xfId="3" applyNumberFormat="1" applyFont="1" applyFill="1" applyBorder="1" applyAlignment="1">
      <alignment horizontal="right" vertical="center"/>
    </xf>
    <xf numFmtId="165" fontId="7" fillId="0" borderId="2" xfId="3" applyNumberFormat="1" applyFont="1" applyFill="1" applyBorder="1" applyAlignment="1">
      <alignment horizontal="right" vertical="center"/>
    </xf>
    <xf numFmtId="9"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xf>
    <xf numFmtId="9" fontId="7" fillId="0" borderId="1" xfId="0" applyNumberFormat="1" applyFont="1" applyFill="1" applyBorder="1" applyAlignment="1">
      <alignment horizontal="right" vertical="center"/>
    </xf>
    <xf numFmtId="164" fontId="7" fillId="0" borderId="9" xfId="1" applyNumberFormat="1" applyFont="1" applyFill="1" applyBorder="1" applyAlignment="1">
      <alignment horizontal="right" vertical="center"/>
    </xf>
    <xf numFmtId="164" fontId="7" fillId="0" borderId="1" xfId="1" applyNumberFormat="1" applyFont="1" applyFill="1" applyBorder="1" applyAlignment="1">
      <alignment horizontal="right" vertical="center"/>
    </xf>
    <xf numFmtId="43" fontId="7" fillId="0" borderId="1" xfId="3" applyFont="1" applyFill="1" applyBorder="1" applyAlignment="1">
      <alignment horizontal="right" vertical="center"/>
    </xf>
    <xf numFmtId="1" fontId="7" fillId="0" borderId="1" xfId="0" applyNumberFormat="1" applyFont="1" applyFill="1" applyBorder="1" applyAlignment="1">
      <alignment horizontal="right" vertical="center"/>
    </xf>
    <xf numFmtId="1"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165" fontId="7" fillId="0" borderId="9" xfId="3" applyNumberFormat="1" applyFont="1" applyFill="1" applyBorder="1" applyAlignment="1">
      <alignment horizontal="right" vertical="center"/>
    </xf>
    <xf numFmtId="0" fontId="2" fillId="0" borderId="1" xfId="0" applyFont="1" applyFill="1" applyBorder="1" applyAlignment="1">
      <alignment horizontal="right" vertical="center" wrapText="1"/>
    </xf>
    <xf numFmtId="0" fontId="2" fillId="3" borderId="1" xfId="0" applyFont="1" applyFill="1" applyBorder="1" applyAlignment="1">
      <alignment horizontal="right" vertical="center" wrapText="1"/>
    </xf>
    <xf numFmtId="9" fontId="10" fillId="0" borderId="1" xfId="0" applyNumberFormat="1" applyFont="1" applyBorder="1" applyAlignment="1">
      <alignment horizontal="right" vertical="center" wrapText="1"/>
    </xf>
    <xf numFmtId="0" fontId="2" fillId="3" borderId="9" xfId="0" applyFont="1" applyFill="1" applyBorder="1" applyAlignment="1">
      <alignment horizontal="justify" vertical="top" wrapText="1"/>
    </xf>
    <xf numFmtId="0" fontId="2" fillId="3" borderId="1" xfId="0" applyFont="1" applyFill="1" applyBorder="1" applyAlignment="1">
      <alignment horizontal="justify" vertical="top" wrapText="1"/>
    </xf>
    <xf numFmtId="9" fontId="7" fillId="3" borderId="9" xfId="0" applyNumberFormat="1" applyFont="1" applyFill="1" applyBorder="1" applyAlignment="1">
      <alignment horizontal="center" vertical="center"/>
    </xf>
    <xf numFmtId="9" fontId="7" fillId="3" borderId="1" xfId="1" applyFont="1" applyFill="1" applyBorder="1" applyAlignment="1">
      <alignment horizontal="center" vertical="center"/>
    </xf>
    <xf numFmtId="9" fontId="7" fillId="3" borderId="1" xfId="0" applyNumberFormat="1" applyFont="1" applyFill="1" applyBorder="1" applyAlignment="1">
      <alignment horizontal="center" vertical="center"/>
    </xf>
    <xf numFmtId="9" fontId="7" fillId="3" borderId="2" xfId="0" applyNumberFormat="1" applyFont="1" applyFill="1" applyBorder="1" applyAlignment="1">
      <alignment horizontal="center" vertical="center"/>
    </xf>
    <xf numFmtId="10" fontId="7" fillId="3" borderId="1" xfId="0" applyNumberFormat="1" applyFont="1" applyFill="1" applyBorder="1" applyAlignment="1">
      <alignment horizontal="center" vertical="center"/>
    </xf>
    <xf numFmtId="10" fontId="7" fillId="3" borderId="9"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9" fontId="7" fillId="3" borderId="11" xfId="0" applyNumberFormat="1" applyFont="1" applyFill="1" applyBorder="1" applyAlignment="1">
      <alignment horizontal="center" vertical="center"/>
    </xf>
    <xf numFmtId="10" fontId="7" fillId="3" borderId="11" xfId="0" applyNumberFormat="1" applyFont="1" applyFill="1" applyBorder="1" applyAlignment="1">
      <alignment horizontal="center" vertical="center"/>
    </xf>
    <xf numFmtId="9" fontId="7" fillId="3" borderId="17"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0" fontId="7" fillId="3" borderId="17" xfId="0" applyFont="1" applyFill="1" applyBorder="1" applyAlignment="1">
      <alignment horizontal="right" vertical="center" wrapText="1"/>
    </xf>
    <xf numFmtId="9" fontId="7" fillId="3" borderId="1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9" fontId="7" fillId="3" borderId="1" xfId="0"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9" fontId="31" fillId="0" borderId="1" xfId="0" applyNumberFormat="1" applyFont="1" applyBorder="1" applyAlignment="1">
      <alignment horizontal="right" vertical="center" wrapText="1"/>
    </xf>
    <xf numFmtId="10" fontId="7" fillId="3" borderId="1" xfId="0" applyNumberFormat="1" applyFont="1" applyFill="1" applyBorder="1" applyAlignment="1">
      <alignment horizontal="right" vertical="center" wrapText="1"/>
    </xf>
    <xf numFmtId="4" fontId="32" fillId="0" borderId="33" xfId="0" applyNumberFormat="1" applyFont="1" applyBorder="1" applyAlignment="1">
      <alignment horizontal="right" vertical="center"/>
    </xf>
    <xf numFmtId="4" fontId="13" fillId="0" borderId="33" xfId="0" applyNumberFormat="1" applyFont="1" applyBorder="1" applyAlignment="1">
      <alignment horizontal="right" vertical="center"/>
    </xf>
    <xf numFmtId="10" fontId="7" fillId="3" borderId="14" xfId="0" applyNumberFormat="1" applyFont="1" applyFill="1" applyBorder="1" applyAlignment="1">
      <alignment horizontal="center" vertical="center"/>
    </xf>
    <xf numFmtId="4" fontId="32" fillId="0" borderId="1" xfId="0" applyNumberFormat="1" applyFont="1" applyBorder="1" applyAlignment="1">
      <alignment horizontal="right" vertical="center"/>
    </xf>
    <xf numFmtId="164" fontId="7" fillId="3" borderId="1" xfId="0" applyNumberFormat="1" applyFont="1" applyFill="1" applyBorder="1" applyAlignment="1">
      <alignment horizontal="center" vertical="center"/>
    </xf>
    <xf numFmtId="9" fontId="7" fillId="0" borderId="1" xfId="0" applyNumberFormat="1" applyFont="1" applyBorder="1" applyAlignment="1">
      <alignment horizontal="right" vertical="center" wrapText="1"/>
    </xf>
    <xf numFmtId="0" fontId="32" fillId="0" borderId="1" xfId="0" applyFont="1" applyBorder="1" applyAlignment="1">
      <alignment horizontal="right" vertical="center" wrapText="1"/>
    </xf>
    <xf numFmtId="3"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9" fontId="33" fillId="0" borderId="1" xfId="0" applyNumberFormat="1" applyFont="1" applyBorder="1" applyAlignment="1">
      <alignment horizontal="center" vertical="center" wrapText="1"/>
    </xf>
    <xf numFmtId="9" fontId="33" fillId="3" borderId="11" xfId="0" applyNumberFormat="1" applyFont="1" applyFill="1" applyBorder="1" applyAlignment="1">
      <alignment horizontal="center" vertical="center"/>
    </xf>
    <xf numFmtId="0" fontId="2" fillId="0" borderId="1" xfId="0" applyFont="1" applyFill="1" applyBorder="1" applyAlignment="1">
      <alignment vertical="center"/>
    </xf>
    <xf numFmtId="0" fontId="6" fillId="3" borderId="1" xfId="0" applyFont="1" applyFill="1" applyBorder="1" applyAlignment="1">
      <alignment horizontal="center" vertical="center" wrapText="1"/>
    </xf>
    <xf numFmtId="0" fontId="2" fillId="0" borderId="0" xfId="0" applyFont="1" applyBorder="1" applyAlignment="1"/>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1" fillId="10" borderId="40"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1" xfId="0" applyFont="1" applyFill="1" applyBorder="1" applyAlignment="1">
      <alignment horizontal="center" vertical="center"/>
    </xf>
    <xf numFmtId="0" fontId="21" fillId="10" borderId="42" xfId="0" applyFont="1" applyFill="1" applyBorder="1" applyAlignment="1">
      <alignment horizontal="center" vertical="center"/>
    </xf>
    <xf numFmtId="0" fontId="21" fillId="10" borderId="41" xfId="0" applyFont="1" applyFill="1" applyBorder="1" applyAlignment="1">
      <alignment horizontal="center" vertical="center" wrapText="1"/>
    </xf>
    <xf numFmtId="0" fontId="21" fillId="10" borderId="42"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4"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5" fillId="4" borderId="37" xfId="0" applyFont="1" applyFill="1" applyBorder="1" applyAlignment="1">
      <alignment horizontal="center" vertical="center"/>
    </xf>
    <xf numFmtId="0" fontId="5" fillId="4" borderId="38" xfId="0" applyFont="1" applyFill="1" applyBorder="1" applyAlignment="1">
      <alignment horizontal="center" vertical="center"/>
    </xf>
    <xf numFmtId="0" fontId="5" fillId="3" borderId="9"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7" borderId="20"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12" borderId="32" xfId="0" applyFont="1" applyFill="1" applyBorder="1" applyAlignment="1">
      <alignment horizontal="center" vertical="center" wrapText="1"/>
    </xf>
    <xf numFmtId="0" fontId="36" fillId="6" borderId="48" xfId="0" applyFont="1" applyFill="1" applyBorder="1" applyAlignment="1">
      <alignment horizontal="center" vertical="center"/>
    </xf>
    <xf numFmtId="0" fontId="36" fillId="6" borderId="37" xfId="0" applyFont="1" applyFill="1" applyBorder="1" applyAlignment="1">
      <alignment horizontal="center" vertical="center"/>
    </xf>
    <xf numFmtId="0" fontId="36" fillId="6" borderId="49" xfId="0" applyFont="1" applyFill="1" applyBorder="1" applyAlignment="1">
      <alignment horizontal="center" vertical="center"/>
    </xf>
  </cellXfs>
  <cellStyles count="5">
    <cellStyle name="Millares" xfId="3" builtinId="3"/>
    <cellStyle name="Moneda [0]" xfId="4" builtinId="7"/>
    <cellStyle name="Normal" xfId="0" builtinId="0"/>
    <cellStyle name="Normal 7" xfId="2" xr:uid="{00000000-0005-0000-0000-000003000000}"/>
    <cellStyle name="Porcentaje" xfId="1" builtinId="5"/>
  </cellStyles>
  <dxfs count="165">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6591300</xdr:colOff>
      <xdr:row>0</xdr:row>
      <xdr:rowOff>266700</xdr:rowOff>
    </xdr:from>
    <xdr:ext cx="1714500" cy="1943100"/>
    <xdr:pic>
      <xdr:nvPicPr>
        <xdr:cNvPr id="2" name="image1.png" title="Imagen">
          <a:extLst>
            <a:ext uri="{FF2B5EF4-FFF2-40B4-BE49-F238E27FC236}">
              <a16:creationId xmlns:a16="http://schemas.microsoft.com/office/drawing/2014/main" id="{E67464EB-CE59-4175-A260-348B006723CD}"/>
            </a:ext>
          </a:extLst>
        </xdr:cNvPr>
        <xdr:cNvPicPr preferRelativeResize="0"/>
      </xdr:nvPicPr>
      <xdr:blipFill>
        <a:blip xmlns:r="http://schemas.openxmlformats.org/officeDocument/2006/relationships" r:embed="rId1" cstate="print"/>
        <a:stretch>
          <a:fillRect/>
        </a:stretch>
      </xdr:blipFill>
      <xdr:spPr>
        <a:xfrm>
          <a:off x="98183700" y="266700"/>
          <a:ext cx="1714500" cy="19431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30"/>
  <sheetViews>
    <sheetView showGridLines="0" tabSelected="1" topLeftCell="AI1" zoomScale="25" zoomScaleNormal="25" workbookViewId="0">
      <pane ySplit="3" topLeftCell="A4" activePane="bottomLeft" state="frozen"/>
      <selection pane="bottomLeft" activeCell="AP10" sqref="AP10"/>
    </sheetView>
  </sheetViews>
  <sheetFormatPr baseColWidth="10" defaultColWidth="11.42578125" defaultRowHeight="15" x14ac:dyDescent="0.2"/>
  <cols>
    <col min="1" max="1" width="43.42578125" style="1" hidden="1" customWidth="1"/>
    <col min="2" max="2" width="61.7109375" style="1" customWidth="1"/>
    <col min="3" max="3" width="34.42578125" style="1" customWidth="1"/>
    <col min="4" max="4" width="46.28515625" style="1" customWidth="1"/>
    <col min="5" max="5" width="19" style="1" customWidth="1"/>
    <col min="6" max="6" width="18.5703125" style="1" customWidth="1"/>
    <col min="7" max="7" width="16.7109375" style="1" customWidth="1"/>
    <col min="8" max="8" width="16.85546875" style="1" customWidth="1"/>
    <col min="9" max="9" width="32.42578125" style="1" customWidth="1"/>
    <col min="10" max="10" width="37.28515625" style="1" customWidth="1"/>
    <col min="11" max="11" width="26.42578125" style="1" customWidth="1"/>
    <col min="12" max="12" width="37.28515625" style="1" customWidth="1"/>
    <col min="13" max="13" width="21" style="3" customWidth="1"/>
    <col min="14" max="14" width="25.5703125" style="3" customWidth="1"/>
    <col min="15" max="15" width="35.5703125" style="3" customWidth="1"/>
    <col min="16" max="16" width="72.7109375" style="3" customWidth="1"/>
    <col min="17" max="17" width="20.5703125" style="145" customWidth="1"/>
    <col min="18" max="18" width="28.140625" style="145" customWidth="1"/>
    <col min="19" max="19" width="28" style="145" customWidth="1"/>
    <col min="20" max="20" width="32.7109375" style="145" customWidth="1"/>
    <col min="21" max="21" width="71" style="3" customWidth="1"/>
    <col min="22" max="23" width="32.7109375" style="3" customWidth="1"/>
    <col min="24" max="24" width="72.7109375" style="3" customWidth="1"/>
    <col min="25" max="25" width="34" style="3" customWidth="1"/>
    <col min="26" max="26" width="30.7109375" style="3" customWidth="1"/>
    <col min="27" max="27" width="102.42578125" style="3" customWidth="1"/>
    <col min="28" max="28" width="25.7109375" style="3" customWidth="1"/>
    <col min="29" max="29" width="27.42578125" style="3" customWidth="1"/>
    <col min="30" max="30" width="112" style="3" customWidth="1"/>
    <col min="31" max="31" width="34.85546875" style="3" customWidth="1"/>
    <col min="32" max="32" width="36.5703125" style="3" customWidth="1"/>
    <col min="33" max="33" width="87.5703125" style="3" customWidth="1"/>
    <col min="34" max="35" width="31.42578125" style="3" customWidth="1"/>
    <col min="36" max="36" width="134.28515625" style="3" customWidth="1"/>
    <col min="37" max="37" width="36.42578125" style="3" customWidth="1"/>
    <col min="38" max="38" width="28.28515625" style="3" customWidth="1"/>
    <col min="39" max="39" width="98.7109375" style="3" customWidth="1"/>
    <col min="40" max="40" width="40" style="3" customWidth="1"/>
    <col min="41" max="41" width="45.42578125" style="3" customWidth="1"/>
    <col min="42" max="42" width="98.7109375" style="3" customWidth="1"/>
    <col min="43" max="43" width="50" style="3" customWidth="1"/>
    <col min="44" max="44" width="38.140625" style="3" customWidth="1"/>
    <col min="45" max="45" width="98.7109375" style="3" customWidth="1"/>
    <col min="46" max="46" width="44" style="3" customWidth="1"/>
    <col min="47" max="47" width="45.85546875" style="3" customWidth="1"/>
    <col min="48" max="49" width="54.85546875" style="3" customWidth="1"/>
    <col min="50" max="50" width="108" style="3" customWidth="1"/>
    <col min="51" max="51" width="29.28515625" style="3" customWidth="1"/>
    <col min="52" max="52" width="49.140625" style="3" hidden="1" customWidth="1"/>
    <col min="53" max="74" width="11.42578125" style="3"/>
    <col min="75" max="16384" width="11.42578125" style="1"/>
  </cols>
  <sheetData>
    <row r="1" spans="1:54" ht="178.5" customHeight="1" thickBot="1" x14ac:dyDescent="0.25">
      <c r="A1" s="226" t="s">
        <v>47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8"/>
    </row>
    <row r="2" spans="1:54" ht="44.25" customHeight="1" thickBot="1" x14ac:dyDescent="0.25">
      <c r="A2" s="198" t="s">
        <v>0</v>
      </c>
      <c r="B2" s="229" t="s">
        <v>13</v>
      </c>
      <c r="C2" s="230" t="s">
        <v>2</v>
      </c>
      <c r="D2" s="230" t="s">
        <v>89</v>
      </c>
      <c r="E2" s="231" t="s">
        <v>3</v>
      </c>
      <c r="F2" s="231"/>
      <c r="G2" s="231"/>
      <c r="H2" s="231"/>
      <c r="I2" s="232" t="s">
        <v>39</v>
      </c>
      <c r="J2" s="233" t="s">
        <v>65</v>
      </c>
      <c r="K2" s="233" t="s">
        <v>105</v>
      </c>
      <c r="L2" s="233" t="s">
        <v>104</v>
      </c>
      <c r="M2" s="234" t="s">
        <v>17</v>
      </c>
      <c r="N2" s="234"/>
      <c r="O2" s="234"/>
      <c r="P2" s="235"/>
      <c r="Q2" s="251" t="s">
        <v>137</v>
      </c>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3"/>
      <c r="AY2" s="236" t="s">
        <v>199</v>
      </c>
      <c r="AZ2" s="196" t="s">
        <v>32</v>
      </c>
    </row>
    <row r="3" spans="1:54" ht="58.5" customHeight="1" thickBot="1" x14ac:dyDescent="0.25">
      <c r="A3" s="199"/>
      <c r="B3" s="229"/>
      <c r="C3" s="230"/>
      <c r="D3" s="230"/>
      <c r="E3" s="237">
        <v>2019</v>
      </c>
      <c r="F3" s="237">
        <v>2020</v>
      </c>
      <c r="G3" s="237">
        <v>2021</v>
      </c>
      <c r="H3" s="238">
        <v>2022</v>
      </c>
      <c r="I3" s="239"/>
      <c r="J3" s="240"/>
      <c r="K3" s="240"/>
      <c r="L3" s="240"/>
      <c r="M3" s="241" t="s">
        <v>18</v>
      </c>
      <c r="N3" s="242" t="s">
        <v>19</v>
      </c>
      <c r="O3" s="242" t="s">
        <v>24</v>
      </c>
      <c r="P3" s="242" t="s">
        <v>25</v>
      </c>
      <c r="Q3" s="243" t="s">
        <v>90</v>
      </c>
      <c r="R3" s="244" t="s">
        <v>91</v>
      </c>
      <c r="S3" s="244" t="s">
        <v>52</v>
      </c>
      <c r="T3" s="244" t="s">
        <v>21</v>
      </c>
      <c r="U3" s="245" t="s">
        <v>53</v>
      </c>
      <c r="V3" s="244" t="s">
        <v>54</v>
      </c>
      <c r="W3" s="244" t="s">
        <v>55</v>
      </c>
      <c r="X3" s="245" t="s">
        <v>56</v>
      </c>
      <c r="Y3" s="244" t="s">
        <v>74</v>
      </c>
      <c r="Z3" s="244" t="s">
        <v>75</v>
      </c>
      <c r="AA3" s="246" t="s">
        <v>76</v>
      </c>
      <c r="AB3" s="247" t="s">
        <v>92</v>
      </c>
      <c r="AC3" s="244" t="s">
        <v>93</v>
      </c>
      <c r="AD3" s="244" t="s">
        <v>94</v>
      </c>
      <c r="AE3" s="247" t="s">
        <v>106</v>
      </c>
      <c r="AF3" s="244" t="s">
        <v>107</v>
      </c>
      <c r="AG3" s="248" t="s">
        <v>115</v>
      </c>
      <c r="AH3" s="248" t="s">
        <v>118</v>
      </c>
      <c r="AI3" s="248" t="s">
        <v>117</v>
      </c>
      <c r="AJ3" s="249" t="s">
        <v>116</v>
      </c>
      <c r="AK3" s="248" t="s">
        <v>126</v>
      </c>
      <c r="AL3" s="248" t="s">
        <v>127</v>
      </c>
      <c r="AM3" s="249" t="s">
        <v>128</v>
      </c>
      <c r="AN3" s="248" t="s">
        <v>138</v>
      </c>
      <c r="AO3" s="248" t="s">
        <v>139</v>
      </c>
      <c r="AP3" s="249" t="s">
        <v>140</v>
      </c>
      <c r="AQ3" s="248" t="s">
        <v>151</v>
      </c>
      <c r="AR3" s="248" t="s">
        <v>149</v>
      </c>
      <c r="AS3" s="249" t="s">
        <v>150</v>
      </c>
      <c r="AT3" s="248" t="s">
        <v>161</v>
      </c>
      <c r="AU3" s="248" t="s">
        <v>159</v>
      </c>
      <c r="AV3" s="250" t="s">
        <v>162</v>
      </c>
      <c r="AW3" s="250" t="s">
        <v>198</v>
      </c>
      <c r="AX3" s="249" t="s">
        <v>160</v>
      </c>
      <c r="AY3" s="225"/>
      <c r="AZ3" s="196"/>
    </row>
    <row r="4" spans="1:54" ht="199.5" customHeight="1" x14ac:dyDescent="0.2">
      <c r="A4" s="21" t="s">
        <v>38</v>
      </c>
      <c r="B4" s="10" t="s">
        <v>16</v>
      </c>
      <c r="C4" s="4" t="s">
        <v>4</v>
      </c>
      <c r="D4" s="33" t="s">
        <v>86</v>
      </c>
      <c r="E4" s="15">
        <v>0.03</v>
      </c>
      <c r="F4" s="5">
        <v>0.23</v>
      </c>
      <c r="G4" s="5">
        <v>0.5</v>
      </c>
      <c r="H4" s="46">
        <v>0.6</v>
      </c>
      <c r="I4" s="47" t="s">
        <v>23</v>
      </c>
      <c r="J4" s="72" t="s">
        <v>66</v>
      </c>
      <c r="K4" s="30">
        <v>0.6</v>
      </c>
      <c r="L4" s="30" t="s">
        <v>71</v>
      </c>
      <c r="M4" s="48">
        <v>0.03</v>
      </c>
      <c r="N4" s="49">
        <v>0.03</v>
      </c>
      <c r="O4" s="165">
        <f t="shared" ref="O4:O8" si="0">N4/M4</f>
        <v>1</v>
      </c>
      <c r="P4" s="163" t="s">
        <v>26</v>
      </c>
      <c r="Q4" s="153">
        <f>23%-N4</f>
        <v>0.2</v>
      </c>
      <c r="R4" s="146">
        <v>20253667.789999999</v>
      </c>
      <c r="S4" s="146">
        <v>0</v>
      </c>
      <c r="T4" s="165">
        <f>S4/20%</f>
        <v>0</v>
      </c>
      <c r="U4" s="73" t="s">
        <v>40</v>
      </c>
      <c r="V4" s="146">
        <v>34421</v>
      </c>
      <c r="W4" s="170">
        <f t="shared" ref="W4:W8" si="1">V4/R4</f>
        <v>1.6994946474334367E-3</v>
      </c>
      <c r="X4" s="73" t="s">
        <v>61</v>
      </c>
      <c r="Y4" s="159">
        <v>101437</v>
      </c>
      <c r="Z4" s="171">
        <f>Y4/R4</f>
        <v>5.0083274324309434E-3</v>
      </c>
      <c r="AA4" s="68" t="s">
        <v>78</v>
      </c>
      <c r="AB4" s="159">
        <v>102037</v>
      </c>
      <c r="AC4" s="171">
        <f>AB4/R4</f>
        <v>5.0379516963529698E-3</v>
      </c>
      <c r="AD4" s="79" t="s">
        <v>97</v>
      </c>
      <c r="AE4" s="159">
        <v>1805376</v>
      </c>
      <c r="AF4" s="171">
        <f>AE4/R4</f>
        <v>8.913822517081979E-2</v>
      </c>
      <c r="AG4" s="79" t="s">
        <v>110</v>
      </c>
      <c r="AH4" s="148">
        <v>4784680</v>
      </c>
      <c r="AI4" s="171">
        <f>AH4/R4</f>
        <v>0.23623770517073345</v>
      </c>
      <c r="AJ4" s="80" t="s">
        <v>120</v>
      </c>
      <c r="AK4" s="183">
        <v>6037259.96</v>
      </c>
      <c r="AL4" s="171">
        <f>+AK4/R4</f>
        <v>0.29808230403486835</v>
      </c>
      <c r="AM4" s="80" t="s">
        <v>131</v>
      </c>
      <c r="AN4" s="183">
        <v>7415231.2000000002</v>
      </c>
      <c r="AO4" s="171">
        <f>+AN4/R4</f>
        <v>0.36611794351940441</v>
      </c>
      <c r="AP4" s="144" t="s">
        <v>145</v>
      </c>
      <c r="AQ4" s="184">
        <v>7918051.8399999999</v>
      </c>
      <c r="AR4" s="84">
        <f>+AQ4/R4</f>
        <v>0.39094409576074124</v>
      </c>
      <c r="AS4" s="144" t="s">
        <v>157</v>
      </c>
      <c r="AT4" s="183">
        <v>13418129</v>
      </c>
      <c r="AU4" s="185">
        <f>+AT4/R4</f>
        <v>0.66250365805965461</v>
      </c>
      <c r="AV4" s="190">
        <v>16841027.100000001</v>
      </c>
      <c r="AW4" s="169">
        <f>+AV4/26242218.77</f>
        <v>0.64175317062948189</v>
      </c>
      <c r="AX4" s="79" t="s">
        <v>185</v>
      </c>
      <c r="AY4" s="69" t="s">
        <v>33</v>
      </c>
      <c r="AZ4" s="101" t="s">
        <v>187</v>
      </c>
      <c r="BA4" s="94"/>
      <c r="BB4" s="86"/>
    </row>
    <row r="5" spans="1:54" ht="150.75" customHeight="1" x14ac:dyDescent="0.2">
      <c r="A5" s="21" t="s">
        <v>38</v>
      </c>
      <c r="B5" s="10" t="s">
        <v>14</v>
      </c>
      <c r="C5" s="4" t="s">
        <v>4</v>
      </c>
      <c r="D5" s="33" t="s">
        <v>86</v>
      </c>
      <c r="E5" s="8">
        <v>8.5000000000000006E-2</v>
      </c>
      <c r="F5" s="8">
        <v>0.20100000000000001</v>
      </c>
      <c r="G5" s="8">
        <v>0.35099999999999998</v>
      </c>
      <c r="H5" s="5">
        <v>0.6</v>
      </c>
      <c r="I5" s="143" t="s">
        <v>5</v>
      </c>
      <c r="J5" s="71" t="s">
        <v>67</v>
      </c>
      <c r="K5" s="30">
        <v>0.6</v>
      </c>
      <c r="L5" s="30" t="s">
        <v>71</v>
      </c>
      <c r="M5" s="8">
        <f t="shared" ref="M5:M10" si="2">+E5</f>
        <v>8.5000000000000006E-2</v>
      </c>
      <c r="N5" s="8">
        <v>2.3E-2</v>
      </c>
      <c r="O5" s="166">
        <f>N5/M5</f>
        <v>0.27058823529411763</v>
      </c>
      <c r="P5" s="164" t="s">
        <v>27</v>
      </c>
      <c r="Q5" s="154">
        <f>+F5-N5</f>
        <v>0.17800000000000002</v>
      </c>
      <c r="R5" s="147">
        <v>7512863</v>
      </c>
      <c r="S5" s="147">
        <v>0</v>
      </c>
      <c r="T5" s="167">
        <f t="shared" ref="T5:T11" si="3">S5/R5</f>
        <v>0</v>
      </c>
      <c r="U5" s="17" t="s">
        <v>41</v>
      </c>
      <c r="V5" s="147">
        <v>0</v>
      </c>
      <c r="W5" s="167">
        <f t="shared" si="1"/>
        <v>0</v>
      </c>
      <c r="X5" s="17" t="s">
        <v>62</v>
      </c>
      <c r="Y5" s="149">
        <v>0</v>
      </c>
      <c r="Z5" s="172">
        <f t="shared" ref="Z5:Z11" si="4">Y5/R5</f>
        <v>0</v>
      </c>
      <c r="AA5" s="68" t="s">
        <v>85</v>
      </c>
      <c r="AB5" s="148">
        <v>0</v>
      </c>
      <c r="AC5" s="175">
        <f t="shared" ref="AC5:AC11" si="5">AB5/R5</f>
        <v>0</v>
      </c>
      <c r="AD5" s="79" t="s">
        <v>98</v>
      </c>
      <c r="AE5" s="148">
        <v>0</v>
      </c>
      <c r="AF5" s="175">
        <f>AE5/R5</f>
        <v>0</v>
      </c>
      <c r="AG5" s="79" t="s">
        <v>109</v>
      </c>
      <c r="AH5" s="159">
        <v>0</v>
      </c>
      <c r="AI5" s="171">
        <f t="shared" ref="AI5:AI8" si="6">AH5/R5</f>
        <v>0</v>
      </c>
      <c r="AJ5" s="79" t="s">
        <v>122</v>
      </c>
      <c r="AK5" s="159">
        <v>0</v>
      </c>
      <c r="AL5" s="171">
        <v>0</v>
      </c>
      <c r="AM5" s="79" t="s">
        <v>133</v>
      </c>
      <c r="AN5" s="159">
        <v>0</v>
      </c>
      <c r="AO5" s="171">
        <v>0</v>
      </c>
      <c r="AP5" s="144" t="s">
        <v>147</v>
      </c>
      <c r="AQ5" s="159">
        <v>0</v>
      </c>
      <c r="AR5" s="84">
        <v>0</v>
      </c>
      <c r="AS5" s="144" t="s">
        <v>155</v>
      </c>
      <c r="AT5" s="160" t="s">
        <v>197</v>
      </c>
      <c r="AU5" s="79" t="s">
        <v>197</v>
      </c>
      <c r="AV5" s="79" t="s">
        <v>197</v>
      </c>
      <c r="AW5" s="79" t="s">
        <v>197</v>
      </c>
      <c r="AX5" s="79" t="s">
        <v>196</v>
      </c>
      <c r="AY5" s="69" t="s">
        <v>33</v>
      </c>
      <c r="AZ5" s="195" t="s">
        <v>202</v>
      </c>
    </row>
    <row r="6" spans="1:54" ht="231" customHeight="1" x14ac:dyDescent="0.2">
      <c r="A6" s="21" t="s">
        <v>38</v>
      </c>
      <c r="B6" s="10" t="s">
        <v>6</v>
      </c>
      <c r="C6" s="16" t="s">
        <v>4</v>
      </c>
      <c r="D6" s="33" t="s">
        <v>86</v>
      </c>
      <c r="E6" s="5">
        <v>0.23</v>
      </c>
      <c r="F6" s="5">
        <v>0.37</v>
      </c>
      <c r="G6" s="5">
        <v>0.49</v>
      </c>
      <c r="H6" s="5">
        <v>0.6</v>
      </c>
      <c r="I6" s="32" t="s">
        <v>23</v>
      </c>
      <c r="J6" s="33" t="s">
        <v>68</v>
      </c>
      <c r="K6" s="7">
        <v>0.6</v>
      </c>
      <c r="L6" s="7" t="s">
        <v>71</v>
      </c>
      <c r="M6" s="8">
        <f t="shared" si="2"/>
        <v>0.23</v>
      </c>
      <c r="N6" s="8">
        <v>0.23</v>
      </c>
      <c r="O6" s="167">
        <f t="shared" si="0"/>
        <v>1</v>
      </c>
      <c r="P6" s="17" t="s">
        <v>31</v>
      </c>
      <c r="Q6" s="154">
        <f>37%-N6</f>
        <v>0.13999999999999999</v>
      </c>
      <c r="R6" s="155">
        <v>15973524.470000001</v>
      </c>
      <c r="S6" s="155">
        <v>12368</v>
      </c>
      <c r="T6" s="169">
        <f>S6/R6</f>
        <v>7.7428121910279952E-4</v>
      </c>
      <c r="U6" s="17" t="s">
        <v>42</v>
      </c>
      <c r="V6" s="149">
        <v>75374</v>
      </c>
      <c r="W6" s="169">
        <f>V6/R6</f>
        <v>4.7186831022521351E-3</v>
      </c>
      <c r="X6" s="17" t="s">
        <v>60</v>
      </c>
      <c r="Y6" s="148">
        <v>43006</v>
      </c>
      <c r="Z6" s="173">
        <f t="shared" si="4"/>
        <v>2.6923300540697766E-3</v>
      </c>
      <c r="AA6" s="39" t="s">
        <v>81</v>
      </c>
      <c r="AB6" s="148">
        <v>168576</v>
      </c>
      <c r="AC6" s="175">
        <f t="shared" si="5"/>
        <v>1.0553463032945789E-2</v>
      </c>
      <c r="AD6" s="39" t="s">
        <v>99</v>
      </c>
      <c r="AE6" s="176">
        <v>7114924.2199999997</v>
      </c>
      <c r="AF6" s="175">
        <f>AE6/R6</f>
        <v>0.44541980909489287</v>
      </c>
      <c r="AG6" s="79" t="s">
        <v>111</v>
      </c>
      <c r="AH6" s="159">
        <v>7362927</v>
      </c>
      <c r="AI6" s="171">
        <f t="shared" si="6"/>
        <v>0.46094567381346363</v>
      </c>
      <c r="AJ6" s="79" t="s">
        <v>121</v>
      </c>
      <c r="AK6" s="183">
        <v>7362927.5</v>
      </c>
      <c r="AL6" s="171">
        <f>+AK6/R6</f>
        <v>0.46094570511525934</v>
      </c>
      <c r="AM6" s="79" t="s">
        <v>132</v>
      </c>
      <c r="AN6" s="183">
        <v>7906008.1799999997</v>
      </c>
      <c r="AO6" s="171">
        <f>+AN6/R6</f>
        <v>0.49494450613252788</v>
      </c>
      <c r="AP6" s="91" t="s">
        <v>146</v>
      </c>
      <c r="AQ6" s="184">
        <v>8784660.1699999999</v>
      </c>
      <c r="AR6" s="84">
        <f>+AQ6/R6</f>
        <v>0.54995127634471264</v>
      </c>
      <c r="AS6" s="91" t="s">
        <v>158</v>
      </c>
      <c r="AT6" s="186">
        <v>16231703.439999999</v>
      </c>
      <c r="AU6" s="187">
        <f>+AT6/R6</f>
        <v>1.0161629307598887</v>
      </c>
      <c r="AV6" s="190">
        <v>42473922.210000001</v>
      </c>
      <c r="AW6" s="187">
        <f>+AV6/42215743.24</f>
        <v>1.006115703531079</v>
      </c>
      <c r="AX6" s="89" t="s">
        <v>186</v>
      </c>
      <c r="AY6" s="69" t="s">
        <v>33</v>
      </c>
      <c r="AZ6" s="43" t="s">
        <v>188</v>
      </c>
    </row>
    <row r="7" spans="1:54" ht="214.5" customHeight="1" x14ac:dyDescent="0.2">
      <c r="A7" s="9" t="s">
        <v>37</v>
      </c>
      <c r="B7" s="10" t="s">
        <v>7</v>
      </c>
      <c r="C7" s="4" t="s">
        <v>4</v>
      </c>
      <c r="D7" s="33" t="s">
        <v>88</v>
      </c>
      <c r="E7" s="8">
        <v>3.0999999999999999E-3</v>
      </c>
      <c r="F7" s="8">
        <v>0.19900000000000001</v>
      </c>
      <c r="G7" s="8">
        <v>0.20300000000000001</v>
      </c>
      <c r="H7" s="8">
        <v>0.59399999999999997</v>
      </c>
      <c r="I7" s="32" t="s">
        <v>22</v>
      </c>
      <c r="J7" s="33" t="s">
        <v>67</v>
      </c>
      <c r="K7" s="7">
        <v>1</v>
      </c>
      <c r="L7" s="7" t="s">
        <v>72</v>
      </c>
      <c r="M7" s="8">
        <f t="shared" si="2"/>
        <v>3.0999999999999999E-3</v>
      </c>
      <c r="N7" s="14">
        <v>3.0999999999999999E-3</v>
      </c>
      <c r="O7" s="167">
        <f t="shared" si="0"/>
        <v>1</v>
      </c>
      <c r="P7" s="18" t="s">
        <v>28</v>
      </c>
      <c r="Q7" s="154">
        <f>19.9%-N7</f>
        <v>0.19589999999999999</v>
      </c>
      <c r="R7" s="147">
        <v>999718</v>
      </c>
      <c r="S7" s="149">
        <v>0</v>
      </c>
      <c r="T7" s="167">
        <f t="shared" si="3"/>
        <v>0</v>
      </c>
      <c r="U7" s="17" t="s">
        <v>43</v>
      </c>
      <c r="V7" s="149">
        <v>0</v>
      </c>
      <c r="W7" s="167">
        <f t="shared" si="1"/>
        <v>0</v>
      </c>
      <c r="X7" s="17" t="s">
        <v>63</v>
      </c>
      <c r="Y7" s="149">
        <v>0</v>
      </c>
      <c r="Z7" s="172">
        <f t="shared" si="4"/>
        <v>0</v>
      </c>
      <c r="AA7" s="39" t="s">
        <v>84</v>
      </c>
      <c r="AB7" s="148">
        <v>0</v>
      </c>
      <c r="AC7" s="175">
        <f>AB7/R7</f>
        <v>0</v>
      </c>
      <c r="AD7" s="39" t="s">
        <v>84</v>
      </c>
      <c r="AE7" s="148">
        <v>0</v>
      </c>
      <c r="AF7" s="175">
        <f>+AE7/R7</f>
        <v>0</v>
      </c>
      <c r="AG7" s="17" t="s">
        <v>84</v>
      </c>
      <c r="AH7" s="148">
        <v>0</v>
      </c>
      <c r="AI7" s="171">
        <f>AH7/R7</f>
        <v>0</v>
      </c>
      <c r="AJ7" s="17" t="s">
        <v>84</v>
      </c>
      <c r="AK7" s="148">
        <v>0</v>
      </c>
      <c r="AL7" s="171">
        <v>0</v>
      </c>
      <c r="AM7" s="83" t="s">
        <v>134</v>
      </c>
      <c r="AN7" s="159">
        <v>0</v>
      </c>
      <c r="AO7" s="171">
        <f>+AN7/R7</f>
        <v>0</v>
      </c>
      <c r="AP7" s="90" t="s">
        <v>143</v>
      </c>
      <c r="AQ7" s="159">
        <v>0</v>
      </c>
      <c r="AR7" s="84">
        <f>+AQ7/R7</f>
        <v>0</v>
      </c>
      <c r="AS7" s="95" t="s">
        <v>143</v>
      </c>
      <c r="AT7" s="178" t="s">
        <v>197</v>
      </c>
      <c r="AU7" s="76" t="s">
        <v>197</v>
      </c>
      <c r="AV7" s="76" t="s">
        <v>197</v>
      </c>
      <c r="AW7" s="76" t="s">
        <v>197</v>
      </c>
      <c r="AX7" s="79" t="s">
        <v>196</v>
      </c>
      <c r="AY7" s="69" t="s">
        <v>33</v>
      </c>
      <c r="AZ7" s="195" t="s">
        <v>202</v>
      </c>
    </row>
    <row r="8" spans="1:54" ht="409.5" x14ac:dyDescent="0.2">
      <c r="A8" s="21" t="s">
        <v>38</v>
      </c>
      <c r="B8" s="10" t="s">
        <v>15</v>
      </c>
      <c r="C8" s="16" t="s">
        <v>4</v>
      </c>
      <c r="D8" s="33" t="s">
        <v>87</v>
      </c>
      <c r="E8" s="5">
        <v>0.05</v>
      </c>
      <c r="F8" s="5">
        <v>0.3</v>
      </c>
      <c r="G8" s="5">
        <v>0.6</v>
      </c>
      <c r="H8" s="5">
        <v>1</v>
      </c>
      <c r="I8" s="31" t="s">
        <v>48</v>
      </c>
      <c r="J8" s="33" t="s">
        <v>69</v>
      </c>
      <c r="K8" s="34">
        <v>1</v>
      </c>
      <c r="L8" s="34" t="s">
        <v>73</v>
      </c>
      <c r="M8" s="5">
        <f t="shared" si="2"/>
        <v>0.05</v>
      </c>
      <c r="N8" s="5">
        <v>0.05</v>
      </c>
      <c r="O8" s="167">
        <f t="shared" si="0"/>
        <v>1</v>
      </c>
      <c r="P8" s="18" t="s">
        <v>36</v>
      </c>
      <c r="Q8" s="150">
        <f>30%-N8</f>
        <v>0.25</v>
      </c>
      <c r="R8" s="150">
        <v>0.25</v>
      </c>
      <c r="S8" s="150">
        <v>0.04</v>
      </c>
      <c r="T8" s="167">
        <f>S8/R8</f>
        <v>0.16</v>
      </c>
      <c r="U8" s="17" t="s">
        <v>44</v>
      </c>
      <c r="V8" s="150">
        <v>7.0000000000000007E-2</v>
      </c>
      <c r="W8" s="167">
        <f t="shared" si="1"/>
        <v>0.28000000000000003</v>
      </c>
      <c r="X8" s="17" t="s">
        <v>59</v>
      </c>
      <c r="Y8" s="150">
        <v>0.11</v>
      </c>
      <c r="Z8" s="172">
        <f t="shared" si="4"/>
        <v>0.44</v>
      </c>
      <c r="AA8" s="40" t="s">
        <v>80</v>
      </c>
      <c r="AB8" s="150">
        <v>0.14000000000000001</v>
      </c>
      <c r="AC8" s="172">
        <f t="shared" si="5"/>
        <v>0.56000000000000005</v>
      </c>
      <c r="AD8" s="39" t="s">
        <v>100</v>
      </c>
      <c r="AE8" s="177">
        <v>0.15</v>
      </c>
      <c r="AF8" s="172">
        <f>AE8/R8</f>
        <v>0.6</v>
      </c>
      <c r="AG8" s="17" t="s">
        <v>112</v>
      </c>
      <c r="AH8" s="152">
        <v>0.15</v>
      </c>
      <c r="AI8" s="171">
        <f t="shared" si="6"/>
        <v>0.6</v>
      </c>
      <c r="AJ8" s="17" t="s">
        <v>124</v>
      </c>
      <c r="AK8" s="152">
        <v>0.15</v>
      </c>
      <c r="AL8" s="171">
        <v>0.5</v>
      </c>
      <c r="AM8" s="81" t="s">
        <v>129</v>
      </c>
      <c r="AN8" s="181">
        <v>0.15</v>
      </c>
      <c r="AO8" s="171">
        <v>0.5</v>
      </c>
      <c r="AP8" s="89" t="s">
        <v>142</v>
      </c>
      <c r="AQ8" s="162">
        <v>0.15</v>
      </c>
      <c r="AR8" s="84">
        <v>0.5</v>
      </c>
      <c r="AS8" s="91" t="s">
        <v>154</v>
      </c>
      <c r="AT8" s="188">
        <v>0.15</v>
      </c>
      <c r="AU8" s="171">
        <f>+AT8/30%</f>
        <v>0.5</v>
      </c>
      <c r="AV8" s="191">
        <v>0.2</v>
      </c>
      <c r="AW8" s="171">
        <f>+AV8/30%</f>
        <v>0.66666666666666674</v>
      </c>
      <c r="AX8" s="95" t="s">
        <v>191</v>
      </c>
      <c r="AY8" s="69" t="s">
        <v>34</v>
      </c>
      <c r="AZ8" s="142" t="s">
        <v>192</v>
      </c>
    </row>
    <row r="9" spans="1:54" ht="240" x14ac:dyDescent="0.2">
      <c r="A9" s="21" t="s">
        <v>38</v>
      </c>
      <c r="B9" s="32" t="s">
        <v>9</v>
      </c>
      <c r="C9" s="20" t="s">
        <v>10</v>
      </c>
      <c r="D9" s="33" t="s">
        <v>87</v>
      </c>
      <c r="E9" s="16">
        <v>6</v>
      </c>
      <c r="F9" s="16">
        <v>10</v>
      </c>
      <c r="G9" s="16">
        <v>17</v>
      </c>
      <c r="H9" s="16">
        <v>20</v>
      </c>
      <c r="I9" s="6" t="s">
        <v>22</v>
      </c>
      <c r="J9" s="33" t="s">
        <v>67</v>
      </c>
      <c r="K9" s="20">
        <v>20</v>
      </c>
      <c r="L9" s="20">
        <v>20</v>
      </c>
      <c r="M9" s="13">
        <f t="shared" si="2"/>
        <v>6</v>
      </c>
      <c r="N9" s="13">
        <v>8</v>
      </c>
      <c r="O9" s="167">
        <f>N9/M9</f>
        <v>1.3333333333333333</v>
      </c>
      <c r="P9" s="17" t="s">
        <v>29</v>
      </c>
      <c r="Q9" s="156">
        <f>10-E9</f>
        <v>4</v>
      </c>
      <c r="R9" s="151">
        <v>4</v>
      </c>
      <c r="S9" s="151">
        <v>1</v>
      </c>
      <c r="T9" s="167">
        <f>S9/4</f>
        <v>0.25</v>
      </c>
      <c r="U9" s="17" t="s">
        <v>45</v>
      </c>
      <c r="V9" s="151">
        <v>2</v>
      </c>
      <c r="W9" s="167">
        <f>V9/4</f>
        <v>0.5</v>
      </c>
      <c r="X9" s="17" t="s">
        <v>58</v>
      </c>
      <c r="Y9" s="151">
        <v>2</v>
      </c>
      <c r="Z9" s="172">
        <f>Y9/4</f>
        <v>0.5</v>
      </c>
      <c r="AA9" s="39" t="s">
        <v>83</v>
      </c>
      <c r="AB9" s="156">
        <v>3</v>
      </c>
      <c r="AC9" s="172">
        <f>AB9/4</f>
        <v>0.75</v>
      </c>
      <c r="AD9" s="43" t="s">
        <v>101</v>
      </c>
      <c r="AE9" s="178">
        <v>3</v>
      </c>
      <c r="AF9" s="172">
        <f>AE9/4</f>
        <v>0.75</v>
      </c>
      <c r="AG9" s="79" t="s">
        <v>108</v>
      </c>
      <c r="AH9" s="151">
        <v>5</v>
      </c>
      <c r="AI9" s="171">
        <f>AH9/4</f>
        <v>1.25</v>
      </c>
      <c r="AJ9" s="17" t="s">
        <v>123</v>
      </c>
      <c r="AK9" s="180">
        <v>8</v>
      </c>
      <c r="AL9" s="171">
        <f>+AK9/4</f>
        <v>2</v>
      </c>
      <c r="AM9" s="17" t="s">
        <v>135</v>
      </c>
      <c r="AN9" s="180">
        <v>8</v>
      </c>
      <c r="AO9" s="171">
        <f>+AN9/R9</f>
        <v>2</v>
      </c>
      <c r="AP9" s="89" t="s">
        <v>144</v>
      </c>
      <c r="AQ9" s="161">
        <v>9</v>
      </c>
      <c r="AR9" s="84">
        <f>+AQ9/R9</f>
        <v>2.25</v>
      </c>
      <c r="AS9" s="95" t="s">
        <v>156</v>
      </c>
      <c r="AT9" s="189">
        <v>11</v>
      </c>
      <c r="AU9" s="171">
        <f>+AT9/R9</f>
        <v>2.75</v>
      </c>
      <c r="AV9" s="192">
        <f>11+8</f>
        <v>19</v>
      </c>
      <c r="AW9" s="171">
        <f>+AV9/20</f>
        <v>0.95</v>
      </c>
      <c r="AX9" s="90" t="s">
        <v>195</v>
      </c>
      <c r="AY9" s="70" t="s">
        <v>35</v>
      </c>
      <c r="AZ9" s="43" t="s">
        <v>194</v>
      </c>
    </row>
    <row r="10" spans="1:54" ht="334.5" customHeight="1" x14ac:dyDescent="0.2">
      <c r="A10" s="22" t="s">
        <v>38</v>
      </c>
      <c r="B10" s="77" t="s">
        <v>11</v>
      </c>
      <c r="C10" s="16" t="s">
        <v>8</v>
      </c>
      <c r="D10" s="33" t="s">
        <v>87</v>
      </c>
      <c r="E10" s="78">
        <v>175</v>
      </c>
      <c r="F10" s="78">
        <v>200</v>
      </c>
      <c r="G10" s="78">
        <v>225</v>
      </c>
      <c r="H10" s="35">
        <v>250</v>
      </c>
      <c r="I10" s="36" t="s">
        <v>12</v>
      </c>
      <c r="J10" s="38" t="s">
        <v>70</v>
      </c>
      <c r="K10" s="37">
        <v>250</v>
      </c>
      <c r="L10" s="37">
        <v>250</v>
      </c>
      <c r="M10" s="23">
        <f t="shared" si="2"/>
        <v>175</v>
      </c>
      <c r="N10" s="23">
        <v>185</v>
      </c>
      <c r="O10" s="168">
        <f>N10/M10</f>
        <v>1.0571428571428572</v>
      </c>
      <c r="P10" s="24" t="s">
        <v>30</v>
      </c>
      <c r="Q10" s="157">
        <f>200-E10</f>
        <v>25</v>
      </c>
      <c r="R10" s="158">
        <v>25</v>
      </c>
      <c r="S10" s="148">
        <v>0</v>
      </c>
      <c r="T10" s="168">
        <f>S10/25</f>
        <v>0</v>
      </c>
      <c r="U10" s="24" t="s">
        <v>46</v>
      </c>
      <c r="V10" s="148">
        <v>0</v>
      </c>
      <c r="W10" s="168">
        <f>V10/25</f>
        <v>0</v>
      </c>
      <c r="X10" s="24" t="s">
        <v>57</v>
      </c>
      <c r="Y10" s="148">
        <v>0</v>
      </c>
      <c r="Z10" s="174">
        <f>Y10/25</f>
        <v>0</v>
      </c>
      <c r="AA10" s="41" t="s">
        <v>82</v>
      </c>
      <c r="AB10" s="151">
        <v>15</v>
      </c>
      <c r="AC10" s="172">
        <f>AB10/25</f>
        <v>0.6</v>
      </c>
      <c r="AD10" s="41" t="s">
        <v>102</v>
      </c>
      <c r="AE10" s="176">
        <v>33</v>
      </c>
      <c r="AF10" s="172">
        <f>AE10/25</f>
        <v>1.32</v>
      </c>
      <c r="AG10" s="17" t="s">
        <v>114</v>
      </c>
      <c r="AH10" s="151">
        <v>55</v>
      </c>
      <c r="AI10" s="172">
        <f>AH10/25</f>
        <v>2.2000000000000002</v>
      </c>
      <c r="AJ10" s="17" t="s">
        <v>119</v>
      </c>
      <c r="AK10" s="180">
        <v>77</v>
      </c>
      <c r="AL10" s="172">
        <f>+AK10/25</f>
        <v>3.08</v>
      </c>
      <c r="AM10" s="17" t="s">
        <v>130</v>
      </c>
      <c r="AN10" s="180">
        <v>117</v>
      </c>
      <c r="AO10" s="172">
        <f>+AN10/25</f>
        <v>4.68</v>
      </c>
      <c r="AP10" s="92" t="s">
        <v>148</v>
      </c>
      <c r="AQ10" s="161">
        <v>150</v>
      </c>
      <c r="AR10" s="85">
        <f>+AQ10/25</f>
        <v>6</v>
      </c>
      <c r="AS10" s="91" t="s">
        <v>152</v>
      </c>
      <c r="AT10" s="180">
        <f>150+37</f>
        <v>187</v>
      </c>
      <c r="AU10" s="172">
        <f>+AT10/25</f>
        <v>7.48</v>
      </c>
      <c r="AV10" s="192">
        <v>372</v>
      </c>
      <c r="AW10" s="172">
        <f>+AV10/200</f>
        <v>1.86</v>
      </c>
      <c r="AX10" s="89" t="s">
        <v>190</v>
      </c>
      <c r="AY10" s="70" t="s">
        <v>35</v>
      </c>
      <c r="AZ10" s="43" t="s">
        <v>193</v>
      </c>
    </row>
    <row r="11" spans="1:54" ht="233.25" customHeight="1" x14ac:dyDescent="0.2">
      <c r="A11" s="25" t="s">
        <v>77</v>
      </c>
      <c r="B11" s="25" t="s">
        <v>49</v>
      </c>
      <c r="C11" s="26" t="s">
        <v>4</v>
      </c>
      <c r="D11" s="26"/>
      <c r="E11" s="27">
        <v>0.1</v>
      </c>
      <c r="F11" s="27">
        <v>0.3</v>
      </c>
      <c r="G11" s="27">
        <v>0.3</v>
      </c>
      <c r="H11" s="27">
        <v>0.3</v>
      </c>
      <c r="I11" s="11" t="s">
        <v>12</v>
      </c>
      <c r="J11" s="33" t="s">
        <v>70</v>
      </c>
      <c r="K11" s="28">
        <v>1</v>
      </c>
      <c r="L11" s="28">
        <v>1</v>
      </c>
      <c r="M11" s="28">
        <v>0.1</v>
      </c>
      <c r="N11" s="28">
        <v>0.1</v>
      </c>
      <c r="O11" s="167">
        <f>N11/M11</f>
        <v>1</v>
      </c>
      <c r="P11" s="17" t="s">
        <v>50</v>
      </c>
      <c r="Q11" s="152">
        <v>0.3</v>
      </c>
      <c r="R11" s="152">
        <v>0.3</v>
      </c>
      <c r="S11" s="152">
        <v>0.01</v>
      </c>
      <c r="T11" s="168">
        <f t="shared" si="3"/>
        <v>3.3333333333333333E-2</v>
      </c>
      <c r="U11" s="17" t="s">
        <v>51</v>
      </c>
      <c r="V11" s="150">
        <v>0.02</v>
      </c>
      <c r="W11" s="167">
        <f>V11/R11</f>
        <v>6.6666666666666666E-2</v>
      </c>
      <c r="X11" s="17" t="s">
        <v>64</v>
      </c>
      <c r="Y11" s="150">
        <v>0.05</v>
      </c>
      <c r="Z11" s="167">
        <f t="shared" si="4"/>
        <v>0.16666666666666669</v>
      </c>
      <c r="AA11" s="17" t="s">
        <v>79</v>
      </c>
      <c r="AB11" s="152">
        <v>0.06</v>
      </c>
      <c r="AC11" s="167">
        <f t="shared" si="5"/>
        <v>0.2</v>
      </c>
      <c r="AD11" s="17" t="s">
        <v>103</v>
      </c>
      <c r="AE11" s="179">
        <v>0.09</v>
      </c>
      <c r="AF11" s="167">
        <f>AE11/R11</f>
        <v>0.3</v>
      </c>
      <c r="AG11" s="17" t="s">
        <v>113</v>
      </c>
      <c r="AH11" s="179">
        <v>0.16</v>
      </c>
      <c r="AI11" s="172">
        <f>AH11/R11</f>
        <v>0.53333333333333333</v>
      </c>
      <c r="AJ11" s="17" t="s">
        <v>125</v>
      </c>
      <c r="AK11" s="179">
        <v>0.21</v>
      </c>
      <c r="AL11" s="172">
        <f>+AK11/R11</f>
        <v>0.7</v>
      </c>
      <c r="AM11" s="17" t="s">
        <v>136</v>
      </c>
      <c r="AN11" s="182">
        <v>0.23499999999999999</v>
      </c>
      <c r="AO11" s="172">
        <f>+AN11/R11</f>
        <v>0.78333333333333333</v>
      </c>
      <c r="AP11" s="17" t="s">
        <v>141</v>
      </c>
      <c r="AQ11" s="141">
        <v>0.27</v>
      </c>
      <c r="AR11" s="85">
        <f>+AQ11/R11</f>
        <v>0.90000000000000013</v>
      </c>
      <c r="AS11" s="164" t="s">
        <v>153</v>
      </c>
      <c r="AT11" s="179">
        <v>0.3</v>
      </c>
      <c r="AU11" s="172">
        <f>+AT11/R11</f>
        <v>1</v>
      </c>
      <c r="AV11" s="193">
        <v>0.4</v>
      </c>
      <c r="AW11" s="194">
        <f>+AV11/100%</f>
        <v>0.4</v>
      </c>
      <c r="AX11" s="164" t="s">
        <v>201</v>
      </c>
      <c r="AY11" s="70" t="s">
        <v>33</v>
      </c>
      <c r="AZ11" s="43" t="s">
        <v>200</v>
      </c>
    </row>
    <row r="12" spans="1:54" ht="17.25" customHeight="1" x14ac:dyDescent="0.2">
      <c r="A12" s="197"/>
      <c r="B12" s="197"/>
      <c r="C12" s="197"/>
      <c r="D12" s="197"/>
      <c r="E12" s="2"/>
      <c r="F12" s="2"/>
      <c r="G12" s="2"/>
      <c r="H12" s="2"/>
      <c r="I12" s="2"/>
      <c r="J12" s="2"/>
      <c r="K12" s="2"/>
      <c r="L12" s="2"/>
      <c r="AE12" s="86"/>
      <c r="AI12" s="86"/>
      <c r="AK12" s="87"/>
      <c r="AX12" s="86"/>
    </row>
    <row r="13" spans="1:54" ht="23.25" customHeight="1" x14ac:dyDescent="0.2">
      <c r="A13" s="197"/>
      <c r="B13" s="197"/>
      <c r="C13" s="19"/>
      <c r="D13" s="29"/>
      <c r="E13" s="2"/>
      <c r="F13" s="2"/>
      <c r="G13" s="2"/>
      <c r="H13" s="2"/>
      <c r="I13" s="82"/>
      <c r="J13" s="2"/>
      <c r="K13" s="2"/>
      <c r="L13" s="2"/>
      <c r="AI13" s="86"/>
      <c r="AK13" s="86"/>
      <c r="AN13" s="88"/>
      <c r="AT13" s="123"/>
    </row>
    <row r="14" spans="1:54" x14ac:dyDescent="0.2">
      <c r="A14" s="2"/>
      <c r="B14" s="2"/>
      <c r="C14" s="2"/>
      <c r="D14" s="2"/>
      <c r="E14" s="2"/>
      <c r="F14" s="2"/>
      <c r="G14" s="2"/>
      <c r="H14" s="2"/>
      <c r="I14" s="2"/>
      <c r="J14" s="2"/>
      <c r="K14" s="2"/>
      <c r="L14" s="2"/>
      <c r="AK14" s="86"/>
    </row>
    <row r="15" spans="1:54" x14ac:dyDescent="0.2">
      <c r="B15" s="2"/>
      <c r="C15" s="2"/>
      <c r="D15" s="2"/>
      <c r="E15" s="2"/>
      <c r="F15" s="93"/>
      <c r="G15" s="2"/>
      <c r="H15" s="2"/>
      <c r="I15" s="2"/>
      <c r="J15" s="2"/>
      <c r="K15" s="2"/>
      <c r="L15" s="2"/>
    </row>
    <row r="16" spans="1:54" x14ac:dyDescent="0.2">
      <c r="B16" s="2"/>
      <c r="C16" s="2"/>
      <c r="D16" s="2"/>
      <c r="E16" s="2"/>
      <c r="F16" s="2"/>
      <c r="G16" s="2"/>
      <c r="H16" s="2"/>
      <c r="I16" s="2"/>
      <c r="J16" s="2"/>
      <c r="K16" s="2"/>
      <c r="L16" s="2"/>
    </row>
    <row r="17" spans="2:49" x14ac:dyDescent="0.2">
      <c r="B17" s="2"/>
      <c r="C17" s="2"/>
      <c r="D17" s="2"/>
      <c r="E17" s="2"/>
      <c r="F17" s="2"/>
      <c r="G17" s="2"/>
      <c r="H17" s="2"/>
      <c r="I17" s="2"/>
      <c r="J17" s="2"/>
      <c r="K17" s="2"/>
      <c r="L17" s="2"/>
    </row>
    <row r="18" spans="2:49" x14ac:dyDescent="0.2">
      <c r="B18" s="2"/>
      <c r="C18" s="2"/>
      <c r="D18" s="2"/>
      <c r="E18" s="2"/>
      <c r="F18" s="2"/>
      <c r="G18" s="2"/>
      <c r="H18" s="2"/>
      <c r="I18" s="2"/>
      <c r="J18" s="2"/>
      <c r="K18" s="2"/>
      <c r="L18" s="2"/>
      <c r="AV18" s="97"/>
      <c r="AW18" s="86"/>
    </row>
    <row r="22" spans="2:49" x14ac:dyDescent="0.2">
      <c r="AT22" s="94"/>
    </row>
    <row r="24" spans="2:49" ht="15.75" x14ac:dyDescent="0.25">
      <c r="AU24" s="99"/>
      <c r="AV24" s="100"/>
    </row>
    <row r="29" spans="2:49" x14ac:dyDescent="0.2">
      <c r="AV29" s="98"/>
    </row>
    <row r="30" spans="2:49" x14ac:dyDescent="0.2">
      <c r="AV30" s="98"/>
    </row>
  </sheetData>
  <mergeCells count="16">
    <mergeCell ref="AZ2:AZ3"/>
    <mergeCell ref="A1:AY1"/>
    <mergeCell ref="AY2:AY3"/>
    <mergeCell ref="A12:D12"/>
    <mergeCell ref="A13:B13"/>
    <mergeCell ref="E2:H2"/>
    <mergeCell ref="M2:P2"/>
    <mergeCell ref="B2:B3"/>
    <mergeCell ref="A2:A3"/>
    <mergeCell ref="I2:I3"/>
    <mergeCell ref="C2:C3"/>
    <mergeCell ref="J2:J3"/>
    <mergeCell ref="K2:K3"/>
    <mergeCell ref="L2:L3"/>
    <mergeCell ref="D2:D3"/>
    <mergeCell ref="Q2:AX2"/>
  </mergeCells>
  <conditionalFormatting sqref="O4:O11 T10:T11">
    <cfRule type="cellIs" dxfId="164" priority="214" operator="lessThan">
      <formula>0.4</formula>
    </cfRule>
    <cfRule type="cellIs" dxfId="163" priority="215" operator="between">
      <formula>0.4</formula>
      <formula>0.799</formula>
    </cfRule>
    <cfRule type="cellIs" dxfId="162" priority="216" operator="greaterThanOrEqual">
      <formula>0.8</formula>
    </cfRule>
  </conditionalFormatting>
  <conditionalFormatting sqref="T9">
    <cfRule type="cellIs" dxfId="161" priority="208" operator="lessThan">
      <formula>0.4</formula>
    </cfRule>
    <cfRule type="cellIs" dxfId="160" priority="209" operator="between">
      <formula>0.4</formula>
      <formula>0.799</formula>
    </cfRule>
    <cfRule type="cellIs" dxfId="159" priority="210" operator="greaterThanOrEqual">
      <formula>0.8</formula>
    </cfRule>
  </conditionalFormatting>
  <conditionalFormatting sqref="Z4:Z5">
    <cfRule type="cellIs" dxfId="158" priority="160" operator="lessThan">
      <formula>0.4</formula>
    </cfRule>
    <cfRule type="cellIs" dxfId="157" priority="161" operator="between">
      <formula>0.4</formula>
      <formula>0.799</formula>
    </cfRule>
    <cfRule type="cellIs" dxfId="156" priority="162" operator="greaterThanOrEqual">
      <formula>0.8</formula>
    </cfRule>
  </conditionalFormatting>
  <conditionalFormatting sqref="T6:T8">
    <cfRule type="cellIs" dxfId="155" priority="157" operator="lessThan">
      <formula>0.4</formula>
    </cfRule>
    <cfRule type="cellIs" dxfId="154" priority="158" operator="between">
      <formula>0.4</formula>
      <formula>0.799</formula>
    </cfRule>
    <cfRule type="cellIs" dxfId="153" priority="159" operator="greaterThanOrEqual">
      <formula>0.8</formula>
    </cfRule>
  </conditionalFormatting>
  <conditionalFormatting sqref="W6:W11">
    <cfRule type="cellIs" dxfId="152" priority="154" operator="lessThan">
      <formula>0.4</formula>
    </cfRule>
    <cfRule type="cellIs" dxfId="151" priority="155" operator="between">
      <formula>0.4</formula>
      <formula>0.799</formula>
    </cfRule>
    <cfRule type="cellIs" dxfId="150" priority="156" operator="greaterThanOrEqual">
      <formula>0.8</formula>
    </cfRule>
  </conditionalFormatting>
  <conditionalFormatting sqref="Z6:Z11">
    <cfRule type="cellIs" dxfId="149" priority="151" operator="lessThan">
      <formula>0.4</formula>
    </cfRule>
    <cfRule type="cellIs" dxfId="148" priority="152" operator="between">
      <formula>0.4</formula>
      <formula>0.799</formula>
    </cfRule>
    <cfRule type="cellIs" dxfId="147" priority="153" operator="greaterThanOrEqual">
      <formula>0.8</formula>
    </cfRule>
  </conditionalFormatting>
  <conditionalFormatting sqref="T4:T5">
    <cfRule type="cellIs" dxfId="146" priority="148" operator="lessThan">
      <formula>0.4</formula>
    </cfRule>
    <cfRule type="cellIs" dxfId="145" priority="149" operator="between">
      <formula>0.4</formula>
      <formula>0.799</formula>
    </cfRule>
    <cfRule type="cellIs" dxfId="144" priority="150" operator="greaterThanOrEqual">
      <formula>0.8</formula>
    </cfRule>
  </conditionalFormatting>
  <conditionalFormatting sqref="W4:W5">
    <cfRule type="cellIs" dxfId="143" priority="145" operator="lessThan">
      <formula>0.4</formula>
    </cfRule>
    <cfRule type="cellIs" dxfId="142" priority="146" operator="between">
      <formula>0.4</formula>
      <formula>0.799</formula>
    </cfRule>
    <cfRule type="cellIs" dxfId="141" priority="147" operator="greaterThanOrEqual">
      <formula>0.8</formula>
    </cfRule>
  </conditionalFormatting>
  <conditionalFormatting sqref="AC4:AC11">
    <cfRule type="cellIs" dxfId="140" priority="136" operator="lessThan">
      <formula>0.4</formula>
    </cfRule>
    <cfRule type="cellIs" dxfId="139" priority="137" operator="between">
      <formula>0.4</formula>
      <formula>0.799</formula>
    </cfRule>
    <cfRule type="cellIs" dxfId="138" priority="138" operator="greaterThanOrEqual">
      <formula>0.8</formula>
    </cfRule>
  </conditionalFormatting>
  <conditionalFormatting sqref="AF9">
    <cfRule type="cellIs" dxfId="137" priority="133" operator="lessThan">
      <formula>0.4</formula>
    </cfRule>
    <cfRule type="cellIs" dxfId="136" priority="134" operator="between">
      <formula>0.4</formula>
      <formula>0.799</formula>
    </cfRule>
    <cfRule type="cellIs" dxfId="135" priority="135" operator="greaterThanOrEqual">
      <formula>0.8</formula>
    </cfRule>
  </conditionalFormatting>
  <conditionalFormatting sqref="AF7">
    <cfRule type="cellIs" dxfId="134" priority="130" operator="lessThan">
      <formula>0.4</formula>
    </cfRule>
    <cfRule type="cellIs" dxfId="133" priority="131" operator="between">
      <formula>0.4</formula>
      <formula>0.799</formula>
    </cfRule>
    <cfRule type="cellIs" dxfId="132" priority="132" operator="greaterThanOrEqual">
      <formula>0.8</formula>
    </cfRule>
  </conditionalFormatting>
  <conditionalFormatting sqref="AF5:AF6">
    <cfRule type="cellIs" dxfId="131" priority="127" operator="lessThan">
      <formula>0.4</formula>
    </cfRule>
    <cfRule type="cellIs" dxfId="130" priority="128" operator="between">
      <formula>0.4</formula>
      <formula>0.799</formula>
    </cfRule>
    <cfRule type="cellIs" dxfId="129" priority="129" operator="greaterThanOrEqual">
      <formula>0.8</formula>
    </cfRule>
  </conditionalFormatting>
  <conditionalFormatting sqref="AF4">
    <cfRule type="cellIs" dxfId="128" priority="124" operator="lessThan">
      <formula>0.4</formula>
    </cfRule>
    <cfRule type="cellIs" dxfId="127" priority="125" operator="between">
      <formula>0.4</formula>
      <formula>0.799</formula>
    </cfRule>
    <cfRule type="cellIs" dxfId="126" priority="126" operator="greaterThanOrEqual">
      <formula>0.8</formula>
    </cfRule>
  </conditionalFormatting>
  <conditionalFormatting sqref="AF8">
    <cfRule type="cellIs" dxfId="125" priority="121" operator="lessThan">
      <formula>0.4</formula>
    </cfRule>
    <cfRule type="cellIs" dxfId="124" priority="122" operator="between">
      <formula>0.4</formula>
      <formula>0.799</formula>
    </cfRule>
    <cfRule type="cellIs" dxfId="123" priority="123" operator="greaterThanOrEqual">
      <formula>0.8</formula>
    </cfRule>
  </conditionalFormatting>
  <conditionalFormatting sqref="AF11">
    <cfRule type="cellIs" dxfId="122" priority="118" operator="lessThan">
      <formula>0.4</formula>
    </cfRule>
    <cfRule type="cellIs" dxfId="121" priority="119" operator="between">
      <formula>0.4</formula>
      <formula>0.799</formula>
    </cfRule>
    <cfRule type="cellIs" dxfId="120" priority="120" operator="greaterThanOrEqual">
      <formula>0.8</formula>
    </cfRule>
  </conditionalFormatting>
  <conditionalFormatting sqref="AF10">
    <cfRule type="cellIs" dxfId="119" priority="115" operator="lessThan">
      <formula>0.4</formula>
    </cfRule>
    <cfRule type="cellIs" dxfId="118" priority="116" operator="between">
      <formula>0.4</formula>
      <formula>0.799</formula>
    </cfRule>
    <cfRule type="cellIs" dxfId="117" priority="117" operator="greaterThanOrEqual">
      <formula>0.8</formula>
    </cfRule>
  </conditionalFormatting>
  <conditionalFormatting sqref="AI10:AI11">
    <cfRule type="cellIs" dxfId="116" priority="112" operator="lessThan">
      <formula>0.4</formula>
    </cfRule>
    <cfRule type="cellIs" dxfId="115" priority="113" operator="between">
      <formula>0.4</formula>
      <formula>0.799</formula>
    </cfRule>
    <cfRule type="cellIs" dxfId="114" priority="114" operator="greaterThanOrEqual">
      <formula>0.8</formula>
    </cfRule>
  </conditionalFormatting>
  <conditionalFormatting sqref="AI4:AI9">
    <cfRule type="cellIs" dxfId="113" priority="106" operator="lessThan">
      <formula>0.4</formula>
    </cfRule>
    <cfRule type="cellIs" dxfId="112" priority="107" operator="between">
      <formula>0.4</formula>
      <formula>0.799</formula>
    </cfRule>
    <cfRule type="cellIs" dxfId="111" priority="108" operator="greaterThanOrEqual">
      <formula>0.8</formula>
    </cfRule>
  </conditionalFormatting>
  <conditionalFormatting sqref="AL8">
    <cfRule type="cellIs" dxfId="110" priority="97" operator="lessThan">
      <formula>0.4</formula>
    </cfRule>
    <cfRule type="cellIs" dxfId="109" priority="98" operator="between">
      <formula>0.4</formula>
      <formula>0.799</formula>
    </cfRule>
    <cfRule type="cellIs" dxfId="108" priority="99" operator="greaterThanOrEqual">
      <formula>0.8</formula>
    </cfRule>
  </conditionalFormatting>
  <conditionalFormatting sqref="AL10">
    <cfRule type="cellIs" dxfId="107" priority="94" operator="lessThan">
      <formula>0.4</formula>
    </cfRule>
    <cfRule type="cellIs" dxfId="106" priority="95" operator="between">
      <formula>0.4</formula>
      <formula>0.799</formula>
    </cfRule>
    <cfRule type="cellIs" dxfId="105" priority="96" operator="greaterThanOrEqual">
      <formula>0.8</formula>
    </cfRule>
  </conditionalFormatting>
  <conditionalFormatting sqref="AL4">
    <cfRule type="cellIs" dxfId="104" priority="91" operator="lessThan">
      <formula>0.4</formula>
    </cfRule>
    <cfRule type="cellIs" dxfId="103" priority="92" operator="between">
      <formula>0.4</formula>
      <formula>0.799</formula>
    </cfRule>
    <cfRule type="cellIs" dxfId="102" priority="93" operator="greaterThanOrEqual">
      <formula>0.8</formula>
    </cfRule>
  </conditionalFormatting>
  <conditionalFormatting sqref="AL6">
    <cfRule type="cellIs" dxfId="101" priority="88" operator="lessThan">
      <formula>0.4</formula>
    </cfRule>
    <cfRule type="cellIs" dxfId="100" priority="89" operator="between">
      <formula>0.4</formula>
      <formula>0.799</formula>
    </cfRule>
    <cfRule type="cellIs" dxfId="99" priority="90" operator="greaterThanOrEqual">
      <formula>0.8</formula>
    </cfRule>
  </conditionalFormatting>
  <conditionalFormatting sqref="AL5">
    <cfRule type="cellIs" dxfId="98" priority="82" operator="lessThan">
      <formula>0.4</formula>
    </cfRule>
    <cfRule type="cellIs" dxfId="97" priority="83" operator="between">
      <formula>0.4</formula>
      <formula>0.799</formula>
    </cfRule>
    <cfRule type="cellIs" dxfId="96" priority="84" operator="greaterThanOrEqual">
      <formula>0.8</formula>
    </cfRule>
  </conditionalFormatting>
  <conditionalFormatting sqref="AL7">
    <cfRule type="cellIs" dxfId="95" priority="79" operator="lessThan">
      <formula>0.4</formula>
    </cfRule>
    <cfRule type="cellIs" dxfId="94" priority="80" operator="between">
      <formula>0.4</formula>
      <formula>0.799</formula>
    </cfRule>
    <cfRule type="cellIs" dxfId="93" priority="81" operator="greaterThanOrEqual">
      <formula>0.8</formula>
    </cfRule>
  </conditionalFormatting>
  <conditionalFormatting sqref="AL9">
    <cfRule type="cellIs" dxfId="92" priority="76" operator="lessThan">
      <formula>0.4</formula>
    </cfRule>
    <cfRule type="cellIs" dxfId="91" priority="77" operator="between">
      <formula>0.4</formula>
      <formula>0.799</formula>
    </cfRule>
    <cfRule type="cellIs" dxfId="90" priority="78" operator="greaterThanOrEqual">
      <formula>0.8</formula>
    </cfRule>
  </conditionalFormatting>
  <conditionalFormatting sqref="AL11">
    <cfRule type="cellIs" dxfId="89" priority="73" operator="lessThan">
      <formula>0.4</formula>
    </cfRule>
    <cfRule type="cellIs" dxfId="88" priority="74" operator="between">
      <formula>0.4</formula>
      <formula>0.799</formula>
    </cfRule>
    <cfRule type="cellIs" dxfId="87" priority="75" operator="greaterThanOrEqual">
      <formula>0.8</formula>
    </cfRule>
  </conditionalFormatting>
  <conditionalFormatting sqref="AO10">
    <cfRule type="cellIs" dxfId="86" priority="70" operator="lessThan">
      <formula>0.4</formula>
    </cfRule>
    <cfRule type="cellIs" dxfId="85" priority="71" operator="between">
      <formula>0.4</formula>
      <formula>0.799</formula>
    </cfRule>
    <cfRule type="cellIs" dxfId="84" priority="72" operator="greaterThanOrEqual">
      <formula>0.8</formula>
    </cfRule>
  </conditionalFormatting>
  <conditionalFormatting sqref="AO11">
    <cfRule type="cellIs" dxfId="83" priority="67" operator="lessThan">
      <formula>0.4</formula>
    </cfRule>
    <cfRule type="cellIs" dxfId="82" priority="68" operator="between">
      <formula>0.4</formula>
      <formula>0.799</formula>
    </cfRule>
    <cfRule type="cellIs" dxfId="81" priority="69" operator="greaterThanOrEqual">
      <formula>0.8</formula>
    </cfRule>
  </conditionalFormatting>
  <conditionalFormatting sqref="AO8">
    <cfRule type="cellIs" dxfId="80" priority="64" operator="lessThan">
      <formula>0.4</formula>
    </cfRule>
    <cfRule type="cellIs" dxfId="79" priority="65" operator="between">
      <formula>0.4</formula>
      <formula>0.799</formula>
    </cfRule>
    <cfRule type="cellIs" dxfId="78" priority="66" operator="greaterThanOrEqual">
      <formula>0.8</formula>
    </cfRule>
  </conditionalFormatting>
  <conditionalFormatting sqref="AO5">
    <cfRule type="cellIs" dxfId="77" priority="61" operator="lessThan">
      <formula>0.4</formula>
    </cfRule>
    <cfRule type="cellIs" dxfId="76" priority="62" operator="between">
      <formula>0.4</formula>
      <formula>0.799</formula>
    </cfRule>
    <cfRule type="cellIs" dxfId="75" priority="63" operator="greaterThanOrEqual">
      <formula>0.8</formula>
    </cfRule>
  </conditionalFormatting>
  <conditionalFormatting sqref="AO7">
    <cfRule type="cellIs" dxfId="74" priority="58" operator="lessThan">
      <formula>0.4</formula>
    </cfRule>
    <cfRule type="cellIs" dxfId="73" priority="59" operator="between">
      <formula>0.4</formula>
      <formula>0.799</formula>
    </cfRule>
    <cfRule type="cellIs" dxfId="72" priority="60" operator="greaterThanOrEqual">
      <formula>0.8</formula>
    </cfRule>
  </conditionalFormatting>
  <conditionalFormatting sqref="AO9">
    <cfRule type="cellIs" dxfId="71" priority="55" operator="lessThan">
      <formula>0.4</formula>
    </cfRule>
    <cfRule type="cellIs" dxfId="70" priority="56" operator="between">
      <formula>0.4</formula>
      <formula>0.799</formula>
    </cfRule>
    <cfRule type="cellIs" dxfId="69" priority="57" operator="greaterThanOrEqual">
      <formula>0.8</formula>
    </cfRule>
  </conditionalFormatting>
  <conditionalFormatting sqref="AO4">
    <cfRule type="cellIs" dxfId="68" priority="52" operator="lessThan">
      <formula>0.4</formula>
    </cfRule>
    <cfRule type="cellIs" dxfId="67" priority="53" operator="between">
      <formula>0.4</formula>
      <formula>0.799</formula>
    </cfRule>
    <cfRule type="cellIs" dxfId="66" priority="54" operator="greaterThanOrEqual">
      <formula>0.8</formula>
    </cfRule>
  </conditionalFormatting>
  <conditionalFormatting sqref="AO6">
    <cfRule type="cellIs" dxfId="65" priority="49" operator="lessThan">
      <formula>0.4</formula>
    </cfRule>
    <cfRule type="cellIs" dxfId="64" priority="50" operator="between">
      <formula>0.4</formula>
      <formula>0.799</formula>
    </cfRule>
    <cfRule type="cellIs" dxfId="63" priority="51" operator="greaterThanOrEqual">
      <formula>0.8</formula>
    </cfRule>
  </conditionalFormatting>
  <conditionalFormatting sqref="AR10">
    <cfRule type="cellIs" dxfId="62" priority="46" operator="lessThan">
      <formula>0.4</formula>
    </cfRule>
    <cfRule type="cellIs" dxfId="61" priority="47" operator="between">
      <formula>0.4</formula>
      <formula>0.799</formula>
    </cfRule>
    <cfRule type="cellIs" dxfId="60" priority="48" operator="greaterThanOrEqual">
      <formula>0.8</formula>
    </cfRule>
  </conditionalFormatting>
  <conditionalFormatting sqref="AR11">
    <cfRule type="cellIs" dxfId="59" priority="43" operator="lessThan">
      <formula>0.4</formula>
    </cfRule>
    <cfRule type="cellIs" dxfId="58" priority="44" operator="between">
      <formula>0.4</formula>
      <formula>0.799</formula>
    </cfRule>
    <cfRule type="cellIs" dxfId="57" priority="45" operator="greaterThanOrEqual">
      <formula>0.8</formula>
    </cfRule>
  </conditionalFormatting>
  <conditionalFormatting sqref="AR8">
    <cfRule type="cellIs" dxfId="56" priority="40" operator="lessThan">
      <formula>0.4</formula>
    </cfRule>
    <cfRule type="cellIs" dxfId="55" priority="41" operator="between">
      <formula>0.4</formula>
      <formula>0.799</formula>
    </cfRule>
    <cfRule type="cellIs" dxfId="54" priority="42" operator="greaterThanOrEqual">
      <formula>0.8</formula>
    </cfRule>
  </conditionalFormatting>
  <conditionalFormatting sqref="AR5">
    <cfRule type="cellIs" dxfId="53" priority="37" operator="lessThan">
      <formula>0.4</formula>
    </cfRule>
    <cfRule type="cellIs" dxfId="52" priority="38" operator="between">
      <formula>0.4</formula>
      <formula>0.799</formula>
    </cfRule>
    <cfRule type="cellIs" dxfId="51" priority="39" operator="greaterThanOrEqual">
      <formula>0.8</formula>
    </cfRule>
  </conditionalFormatting>
  <conditionalFormatting sqref="AR7">
    <cfRule type="cellIs" dxfId="50" priority="34" operator="lessThan">
      <formula>0.4</formula>
    </cfRule>
    <cfRule type="cellIs" dxfId="49" priority="35" operator="between">
      <formula>0.4</formula>
      <formula>0.799</formula>
    </cfRule>
    <cfRule type="cellIs" dxfId="48" priority="36" operator="greaterThanOrEqual">
      <formula>0.8</formula>
    </cfRule>
  </conditionalFormatting>
  <conditionalFormatting sqref="AR9">
    <cfRule type="cellIs" dxfId="47" priority="31" operator="lessThan">
      <formula>0.4</formula>
    </cfRule>
    <cfRule type="cellIs" dxfId="46" priority="32" operator="between">
      <formula>0.4</formula>
      <formula>0.799</formula>
    </cfRule>
    <cfRule type="cellIs" dxfId="45" priority="33" operator="greaterThanOrEqual">
      <formula>0.8</formula>
    </cfRule>
  </conditionalFormatting>
  <conditionalFormatting sqref="AR4">
    <cfRule type="cellIs" dxfId="44" priority="28" operator="lessThan">
      <formula>0.4</formula>
    </cfRule>
    <cfRule type="cellIs" dxfId="43" priority="29" operator="between">
      <formula>0.4</formula>
      <formula>0.799</formula>
    </cfRule>
    <cfRule type="cellIs" dxfId="42" priority="30" operator="greaterThanOrEqual">
      <formula>0.8</formula>
    </cfRule>
  </conditionalFormatting>
  <conditionalFormatting sqref="AR6">
    <cfRule type="cellIs" dxfId="41" priority="25" operator="lessThan">
      <formula>0.4</formula>
    </cfRule>
    <cfRule type="cellIs" dxfId="40" priority="26" operator="between">
      <formula>0.4</formula>
      <formula>0.799</formula>
    </cfRule>
    <cfRule type="cellIs" dxfId="39" priority="27" operator="greaterThanOrEqual">
      <formula>0.8</formula>
    </cfRule>
  </conditionalFormatting>
  <conditionalFormatting sqref="AU4 AW4">
    <cfRule type="cellIs" dxfId="38" priority="22" operator="lessThan">
      <formula>0.4</formula>
    </cfRule>
    <cfRule type="cellIs" dxfId="37" priority="23" operator="between">
      <formula>0.4</formula>
      <formula>0.799</formula>
    </cfRule>
    <cfRule type="cellIs" dxfId="36" priority="24" operator="greaterThanOrEqual">
      <formula>0.8</formula>
    </cfRule>
  </conditionalFormatting>
  <conditionalFormatting sqref="AU6 AW6">
    <cfRule type="cellIs" dxfId="35" priority="16" operator="lessThan">
      <formula>0.4</formula>
    </cfRule>
    <cfRule type="cellIs" dxfId="34" priority="17" operator="between">
      <formula>0.4</formula>
      <formula>0.799</formula>
    </cfRule>
    <cfRule type="cellIs" dxfId="33" priority="18" operator="greaterThanOrEqual">
      <formula>0.8</formula>
    </cfRule>
  </conditionalFormatting>
  <conditionalFormatting sqref="AU10 AW10">
    <cfRule type="cellIs" dxfId="32" priority="13" operator="lessThan">
      <formula>0.4</formula>
    </cfRule>
    <cfRule type="cellIs" dxfId="31" priority="14" operator="between">
      <formula>0.4</formula>
      <formula>0.799</formula>
    </cfRule>
    <cfRule type="cellIs" dxfId="30" priority="15" operator="greaterThanOrEqual">
      <formula>0.8</formula>
    </cfRule>
  </conditionalFormatting>
  <conditionalFormatting sqref="AU11 AW11">
    <cfRule type="cellIs" dxfId="29" priority="10" operator="lessThan">
      <formula>0.4</formula>
    </cfRule>
    <cfRule type="cellIs" dxfId="28" priority="11" operator="between">
      <formula>0.4</formula>
      <formula>0.799</formula>
    </cfRule>
    <cfRule type="cellIs" dxfId="27" priority="12" operator="greaterThanOrEqual">
      <formula>0.8</formula>
    </cfRule>
  </conditionalFormatting>
  <conditionalFormatting sqref="AU8 AW8">
    <cfRule type="cellIs" dxfId="26" priority="7" operator="lessThan">
      <formula>0.4</formula>
    </cfRule>
    <cfRule type="cellIs" dxfId="25" priority="8" operator="between">
      <formula>0.4</formula>
      <formula>0.799</formula>
    </cfRule>
    <cfRule type="cellIs" dxfId="24" priority="9" operator="greaterThanOrEqual">
      <formula>0.8</formula>
    </cfRule>
  </conditionalFormatting>
  <conditionalFormatting sqref="AU9 AW9">
    <cfRule type="cellIs" dxfId="23" priority="1" operator="lessThan">
      <formula>0.4</formula>
    </cfRule>
    <cfRule type="cellIs" dxfId="22" priority="2" operator="between">
      <formula>0.4</formula>
      <formula>0.799</formula>
    </cfRule>
    <cfRule type="cellIs" dxfId="21"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7" zoomScale="60" zoomScaleNormal="60" workbookViewId="0">
      <selection activeCell="B9" sqref="B9"/>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203" t="s">
        <v>0</v>
      </c>
      <c r="B1" s="202" t="s">
        <v>13</v>
      </c>
      <c r="C1" s="202" t="s">
        <v>2</v>
      </c>
      <c r="D1" s="202" t="s">
        <v>89</v>
      </c>
      <c r="E1" s="202" t="s">
        <v>3</v>
      </c>
      <c r="F1" s="202"/>
      <c r="G1" s="202"/>
      <c r="H1" s="202"/>
      <c r="I1" s="202" t="s">
        <v>39</v>
      </c>
    </row>
    <row r="2" spans="1:9" ht="32.25" customHeight="1" x14ac:dyDescent="0.25">
      <c r="A2" s="203"/>
      <c r="B2" s="202"/>
      <c r="C2" s="202"/>
      <c r="D2" s="202"/>
      <c r="E2" s="74">
        <v>2019</v>
      </c>
      <c r="F2" s="74">
        <v>2020</v>
      </c>
      <c r="G2" s="74">
        <v>2021</v>
      </c>
      <c r="H2" s="74">
        <v>2022</v>
      </c>
      <c r="I2" s="202"/>
    </row>
    <row r="3" spans="1:9" ht="159" customHeight="1" x14ac:dyDescent="0.25">
      <c r="A3" s="75" t="s">
        <v>38</v>
      </c>
      <c r="B3" s="10" t="s">
        <v>16</v>
      </c>
      <c r="C3" s="4" t="s">
        <v>4</v>
      </c>
      <c r="D3" s="33" t="s">
        <v>86</v>
      </c>
      <c r="E3" s="15">
        <v>0.03</v>
      </c>
      <c r="F3" s="5">
        <v>0.23</v>
      </c>
      <c r="G3" s="5">
        <v>0.5</v>
      </c>
      <c r="H3" s="5">
        <v>0.6</v>
      </c>
      <c r="I3" s="32" t="s">
        <v>23</v>
      </c>
    </row>
    <row r="4" spans="1:9" ht="159" customHeight="1" x14ac:dyDescent="0.25">
      <c r="A4" s="75" t="s">
        <v>38</v>
      </c>
      <c r="B4" s="10" t="s">
        <v>14</v>
      </c>
      <c r="C4" s="4" t="s">
        <v>4</v>
      </c>
      <c r="D4" s="33" t="s">
        <v>86</v>
      </c>
      <c r="E4" s="8">
        <v>8.5000000000000006E-2</v>
      </c>
      <c r="F4" s="8">
        <v>0.20100000000000001</v>
      </c>
      <c r="G4" s="8">
        <v>0.35099999999999998</v>
      </c>
      <c r="H4" s="5">
        <v>0.6</v>
      </c>
      <c r="I4" s="32" t="s">
        <v>5</v>
      </c>
    </row>
    <row r="5" spans="1:9" ht="162.75" customHeight="1" x14ac:dyDescent="0.25">
      <c r="A5" s="75" t="s">
        <v>38</v>
      </c>
      <c r="B5" s="10" t="s">
        <v>6</v>
      </c>
      <c r="C5" s="16" t="s">
        <v>4</v>
      </c>
      <c r="D5" s="33" t="s">
        <v>86</v>
      </c>
      <c r="E5" s="5">
        <v>0.23</v>
      </c>
      <c r="F5" s="5">
        <v>0.37</v>
      </c>
      <c r="G5" s="5">
        <v>0.49</v>
      </c>
      <c r="H5" s="5">
        <v>0.6</v>
      </c>
      <c r="I5" s="32" t="s">
        <v>23</v>
      </c>
    </row>
    <row r="6" spans="1:9" ht="288" x14ac:dyDescent="0.25">
      <c r="A6" s="76" t="s">
        <v>37</v>
      </c>
      <c r="B6" s="10" t="s">
        <v>7</v>
      </c>
      <c r="C6" s="4" t="s">
        <v>4</v>
      </c>
      <c r="D6" s="33" t="s">
        <v>88</v>
      </c>
      <c r="E6" s="8">
        <v>3.0999999999999999E-3</v>
      </c>
      <c r="F6" s="8">
        <v>0.19900000000000001</v>
      </c>
      <c r="G6" s="8">
        <v>0.20300000000000001</v>
      </c>
      <c r="H6" s="8">
        <v>0.59399999999999997</v>
      </c>
      <c r="I6" s="32" t="s">
        <v>22</v>
      </c>
    </row>
    <row r="7" spans="1:9" ht="288" x14ac:dyDescent="0.25">
      <c r="A7" s="75" t="s">
        <v>38</v>
      </c>
      <c r="B7" s="10" t="s">
        <v>15</v>
      </c>
      <c r="C7" s="16" t="s">
        <v>4</v>
      </c>
      <c r="D7" s="33" t="s">
        <v>87</v>
      </c>
      <c r="E7" s="5">
        <v>0.05</v>
      </c>
      <c r="F7" s="5">
        <v>0.3</v>
      </c>
      <c r="G7" s="5">
        <v>0.6</v>
      </c>
      <c r="H7" s="5">
        <v>1</v>
      </c>
      <c r="I7" s="6" t="s">
        <v>48</v>
      </c>
    </row>
    <row r="8" spans="1:9" ht="288" x14ac:dyDescent="0.25">
      <c r="A8" s="75" t="s">
        <v>38</v>
      </c>
      <c r="B8" s="32" t="s">
        <v>9</v>
      </c>
      <c r="C8" s="20" t="s">
        <v>10</v>
      </c>
      <c r="D8" s="33" t="s">
        <v>87</v>
      </c>
      <c r="E8" s="16">
        <v>6</v>
      </c>
      <c r="F8" s="16">
        <v>10</v>
      </c>
      <c r="G8" s="16">
        <v>17</v>
      </c>
      <c r="H8" s="16">
        <v>20</v>
      </c>
      <c r="I8" s="6" t="s">
        <v>22</v>
      </c>
    </row>
    <row r="9" spans="1:9" ht="263.25" customHeight="1" x14ac:dyDescent="0.25">
      <c r="A9" s="75" t="s">
        <v>38</v>
      </c>
      <c r="B9" s="77" t="s">
        <v>11</v>
      </c>
      <c r="C9" s="16" t="s">
        <v>8</v>
      </c>
      <c r="D9" s="33" t="s">
        <v>87</v>
      </c>
      <c r="E9" s="78">
        <v>175</v>
      </c>
      <c r="F9" s="78">
        <v>200</v>
      </c>
      <c r="G9" s="78">
        <v>225</v>
      </c>
      <c r="H9" s="78">
        <v>250</v>
      </c>
      <c r="I9" s="11" t="s">
        <v>12</v>
      </c>
    </row>
    <row r="10" spans="1:9" ht="126" x14ac:dyDescent="0.25">
      <c r="A10" s="25" t="s">
        <v>77</v>
      </c>
      <c r="B10" s="25" t="s">
        <v>49</v>
      </c>
      <c r="C10" s="26" t="s">
        <v>4</v>
      </c>
      <c r="D10" s="26"/>
      <c r="E10" s="27">
        <v>0.1</v>
      </c>
      <c r="F10" s="27">
        <v>0.3</v>
      </c>
      <c r="G10" s="27">
        <v>0.3</v>
      </c>
      <c r="H10" s="27">
        <v>0.3</v>
      </c>
      <c r="I10" s="11" t="s">
        <v>12</v>
      </c>
    </row>
  </sheetData>
  <mergeCells count="6">
    <mergeCell ref="I1:I2"/>
    <mergeCell ref="A1:A2"/>
    <mergeCell ref="B1:B2"/>
    <mergeCell ref="C1:C2"/>
    <mergeCell ref="D1:D2"/>
    <mergeCell ref="E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1CC5-8E2B-471C-9C55-F8CE18C114A9}">
  <dimension ref="B4:H19"/>
  <sheetViews>
    <sheetView showGridLines="0" workbookViewId="0">
      <selection activeCell="F13" sqref="F13"/>
    </sheetView>
  </sheetViews>
  <sheetFormatPr baseColWidth="10" defaultRowHeight="15" x14ac:dyDescent="0.25"/>
  <cols>
    <col min="4" max="4" width="12.28515625" bestFit="1" customWidth="1"/>
    <col min="6" max="6" width="11.28515625" bestFit="1" customWidth="1"/>
    <col min="8" max="8" width="12.7109375" bestFit="1" customWidth="1"/>
  </cols>
  <sheetData>
    <row r="4" spans="2:8" ht="15.75" thickBot="1" x14ac:dyDescent="0.3"/>
    <row r="5" spans="2:8" ht="15.75" thickBot="1" x14ac:dyDescent="0.3">
      <c r="B5" s="204" t="s">
        <v>163</v>
      </c>
      <c r="C5" s="206" t="s">
        <v>164</v>
      </c>
      <c r="D5" s="207"/>
      <c r="E5" s="206" t="s">
        <v>165</v>
      </c>
      <c r="F5" s="207"/>
      <c r="G5" s="208" t="s">
        <v>166</v>
      </c>
      <c r="H5" s="209"/>
    </row>
    <row r="6" spans="2:8" ht="15.75" thickBot="1" x14ac:dyDescent="0.3">
      <c r="B6" s="205"/>
      <c r="C6" s="113" t="s">
        <v>167</v>
      </c>
      <c r="D6" s="113" t="s">
        <v>168</v>
      </c>
      <c r="E6" s="113" t="s">
        <v>167</v>
      </c>
      <c r="F6" s="113" t="s">
        <v>168</v>
      </c>
      <c r="G6" s="114" t="s">
        <v>167</v>
      </c>
      <c r="H6" s="114" t="s">
        <v>168</v>
      </c>
    </row>
    <row r="7" spans="2:8" ht="15.75" thickBot="1" x14ac:dyDescent="0.3">
      <c r="B7" s="115" t="s">
        <v>169</v>
      </c>
      <c r="C7" s="103">
        <v>1.9E-2</v>
      </c>
      <c r="D7" s="104">
        <v>2167835.46</v>
      </c>
      <c r="E7" s="105"/>
      <c r="F7" s="106"/>
      <c r="G7" s="107"/>
      <c r="H7" s="107"/>
    </row>
    <row r="8" spans="2:8" ht="15.75" thickBot="1" x14ac:dyDescent="0.3">
      <c r="B8" s="115">
        <v>2019</v>
      </c>
      <c r="C8" s="108">
        <v>0.03</v>
      </c>
      <c r="D8" s="104">
        <v>3422898.1</v>
      </c>
      <c r="E8" s="103">
        <v>0.03</v>
      </c>
      <c r="F8" s="104">
        <v>3820715.52</v>
      </c>
      <c r="G8" s="109"/>
      <c r="H8" s="109"/>
    </row>
    <row r="9" spans="2:8" ht="15.75" thickBot="1" x14ac:dyDescent="0.3">
      <c r="B9" s="115">
        <v>2020</v>
      </c>
      <c r="C9" s="108">
        <v>0.23</v>
      </c>
      <c r="D9" s="104">
        <v>26242218.77</v>
      </c>
      <c r="E9" s="103">
        <v>0.1176</v>
      </c>
      <c r="F9" s="110">
        <v>13418129</v>
      </c>
      <c r="G9" s="111">
        <v>0.14760000000000001</v>
      </c>
      <c r="H9" s="112">
        <v>17238844.5</v>
      </c>
    </row>
    <row r="10" spans="2:8" x14ac:dyDescent="0.25">
      <c r="H10" s="96">
        <f>+F9+D8</f>
        <v>16841027.100000001</v>
      </c>
    </row>
    <row r="12" spans="2:8" x14ac:dyDescent="0.25">
      <c r="B12" s="116" t="s">
        <v>170</v>
      </c>
      <c r="C12" s="117"/>
      <c r="D12" s="117"/>
      <c r="E12" s="117"/>
      <c r="F12" s="117"/>
    </row>
    <row r="13" spans="2:8" x14ac:dyDescent="0.25">
      <c r="B13" s="118" t="s">
        <v>171</v>
      </c>
      <c r="C13" s="118" t="s">
        <v>172</v>
      </c>
      <c r="D13" s="118" t="s">
        <v>173</v>
      </c>
      <c r="E13" s="118" t="s">
        <v>174</v>
      </c>
      <c r="F13" s="118" t="s">
        <v>175</v>
      </c>
    </row>
    <row r="14" spans="2:8" x14ac:dyDescent="0.25">
      <c r="B14" s="119" t="s">
        <v>176</v>
      </c>
      <c r="C14" s="120" t="s">
        <v>177</v>
      </c>
      <c r="D14" s="120">
        <v>1.9E-2</v>
      </c>
      <c r="E14" s="120" t="s">
        <v>177</v>
      </c>
      <c r="F14" s="117"/>
    </row>
    <row r="15" spans="2:8" x14ac:dyDescent="0.25">
      <c r="B15" s="119" t="s">
        <v>178</v>
      </c>
      <c r="C15" s="120">
        <v>0.03</v>
      </c>
      <c r="D15" s="120">
        <v>0.03</v>
      </c>
      <c r="E15" s="120">
        <f>D15/C15*100%</f>
        <v>1</v>
      </c>
      <c r="F15" s="137">
        <v>0.03</v>
      </c>
    </row>
    <row r="16" spans="2:8" x14ac:dyDescent="0.25">
      <c r="B16" s="119" t="s">
        <v>179</v>
      </c>
      <c r="C16" s="120">
        <v>0.23</v>
      </c>
      <c r="D16" s="120">
        <f>11.76%+D15</f>
        <v>0.14760000000000001</v>
      </c>
      <c r="E16" s="120">
        <f>(D16/C16)*100%</f>
        <v>0.64173913043478259</v>
      </c>
      <c r="F16" s="137">
        <v>0.2</v>
      </c>
    </row>
    <row r="17" spans="2:6" x14ac:dyDescent="0.25">
      <c r="B17" s="119" t="s">
        <v>180</v>
      </c>
      <c r="C17" s="120">
        <v>0.5</v>
      </c>
      <c r="D17" s="120"/>
      <c r="E17" s="120">
        <f>(D17/C17)*100%</f>
        <v>0</v>
      </c>
      <c r="F17" s="137">
        <v>0.27</v>
      </c>
    </row>
    <row r="18" spans="2:6" x14ac:dyDescent="0.25">
      <c r="B18" s="119" t="s">
        <v>181</v>
      </c>
      <c r="C18" s="120">
        <v>0.6</v>
      </c>
      <c r="D18" s="120"/>
      <c r="E18" s="120">
        <f>(D18/C18)*100%</f>
        <v>0</v>
      </c>
      <c r="F18" s="137">
        <v>0.1</v>
      </c>
    </row>
    <row r="19" spans="2:6" x14ac:dyDescent="0.25">
      <c r="B19" s="121" t="s">
        <v>182</v>
      </c>
      <c r="C19" s="122">
        <v>0.6</v>
      </c>
      <c r="D19" s="122">
        <f>+D16</f>
        <v>0.14760000000000001</v>
      </c>
      <c r="E19" s="122">
        <f>(D19*100%)/C19</f>
        <v>0.24600000000000002</v>
      </c>
      <c r="F19" s="122">
        <v>0.6</v>
      </c>
    </row>
  </sheetData>
  <mergeCells count="4">
    <mergeCell ref="B5:B6"/>
    <mergeCell ref="C5:D5"/>
    <mergeCell ref="E5:F5"/>
    <mergeCell ref="G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E3B6-EF58-4D2B-BB93-55EECF49B122}">
  <dimension ref="B3:H19"/>
  <sheetViews>
    <sheetView showGridLines="0" workbookViewId="0">
      <selection activeCell="F30" activeCellId="1" sqref="D21 F30"/>
    </sheetView>
  </sheetViews>
  <sheetFormatPr baseColWidth="10" defaultRowHeight="15" x14ac:dyDescent="0.25"/>
  <cols>
    <col min="4" max="4" width="12.7109375" bestFit="1" customWidth="1"/>
    <col min="6" max="6" width="12.7109375" bestFit="1" customWidth="1"/>
    <col min="8" max="8" width="19.140625" customWidth="1"/>
  </cols>
  <sheetData>
    <row r="3" spans="2:8" ht="15.75" thickBot="1" x14ac:dyDescent="0.3"/>
    <row r="4" spans="2:8" ht="15.75" thickBot="1" x14ac:dyDescent="0.3">
      <c r="B4" s="204" t="s">
        <v>163</v>
      </c>
      <c r="C4" s="206" t="s">
        <v>164</v>
      </c>
      <c r="D4" s="207"/>
      <c r="E4" s="206" t="s">
        <v>165</v>
      </c>
      <c r="F4" s="207"/>
      <c r="G4" s="208" t="s">
        <v>166</v>
      </c>
      <c r="H4" s="209"/>
    </row>
    <row r="5" spans="2:8" ht="15.75" thickBot="1" x14ac:dyDescent="0.3">
      <c r="B5" s="205"/>
      <c r="C5" s="113" t="s">
        <v>167</v>
      </c>
      <c r="D5" s="113" t="s">
        <v>168</v>
      </c>
      <c r="E5" s="113" t="s">
        <v>167</v>
      </c>
      <c r="F5" s="113" t="s">
        <v>168</v>
      </c>
      <c r="G5" s="114" t="s">
        <v>167</v>
      </c>
      <c r="H5" s="114" t="s">
        <v>168</v>
      </c>
    </row>
    <row r="6" spans="2:8" ht="15.75" thickBot="1" x14ac:dyDescent="0.3">
      <c r="B6" s="102" t="s">
        <v>169</v>
      </c>
      <c r="C6" s="124" t="s">
        <v>183</v>
      </c>
      <c r="D6" s="104">
        <v>14262075.42</v>
      </c>
      <c r="E6" s="105"/>
      <c r="F6" s="106"/>
      <c r="G6" s="107"/>
      <c r="H6" s="107"/>
    </row>
    <row r="7" spans="2:8" ht="15.75" thickBot="1" x14ac:dyDescent="0.3">
      <c r="B7" s="102">
        <v>2019</v>
      </c>
      <c r="C7" s="108">
        <v>0.23</v>
      </c>
      <c r="D7" s="104">
        <v>26242218.77</v>
      </c>
      <c r="E7" s="124" t="s">
        <v>184</v>
      </c>
      <c r="F7" s="104">
        <v>11980143.35</v>
      </c>
      <c r="G7" s="109"/>
      <c r="H7" s="125"/>
    </row>
    <row r="8" spans="2:8" ht="15.75" thickBot="1" x14ac:dyDescent="0.3">
      <c r="B8" s="102">
        <v>2020</v>
      </c>
      <c r="C8" s="108">
        <v>0.37</v>
      </c>
      <c r="D8" s="104">
        <v>42215743.240000002</v>
      </c>
      <c r="E8" s="103">
        <v>0.14230000000000001</v>
      </c>
      <c r="F8" s="104">
        <v>16231703.439999999</v>
      </c>
      <c r="G8" s="111">
        <v>0.37230000000000002</v>
      </c>
      <c r="H8" s="112">
        <f>+D6+F7+F8</f>
        <v>42473922.210000001</v>
      </c>
    </row>
    <row r="9" spans="2:8" x14ac:dyDescent="0.25">
      <c r="D9" s="127"/>
      <c r="E9" s="126"/>
      <c r="F9" s="127"/>
    </row>
    <row r="10" spans="2:8" x14ac:dyDescent="0.25">
      <c r="D10" s="96"/>
      <c r="E10" s="126"/>
      <c r="F10" s="129"/>
    </row>
    <row r="12" spans="2:8" x14ac:dyDescent="0.25">
      <c r="B12" s="130" t="s">
        <v>189</v>
      </c>
      <c r="C12" s="131"/>
      <c r="D12" s="131"/>
      <c r="E12" s="131"/>
      <c r="F12" s="131"/>
    </row>
    <row r="13" spans="2:8" x14ac:dyDescent="0.25">
      <c r="B13" s="132" t="s">
        <v>171</v>
      </c>
      <c r="C13" s="132" t="s">
        <v>172</v>
      </c>
      <c r="D13" s="132" t="s">
        <v>173</v>
      </c>
      <c r="E13" s="132" t="s">
        <v>174</v>
      </c>
      <c r="F13" s="118" t="s">
        <v>175</v>
      </c>
    </row>
    <row r="14" spans="2:8" x14ac:dyDescent="0.25">
      <c r="B14" s="133" t="s">
        <v>176</v>
      </c>
      <c r="C14" s="134" t="s">
        <v>177</v>
      </c>
      <c r="D14" s="135">
        <v>12.5</v>
      </c>
      <c r="E14" s="138" t="s">
        <v>177</v>
      </c>
      <c r="F14" s="140"/>
    </row>
    <row r="15" spans="2:8" x14ac:dyDescent="0.25">
      <c r="B15" s="133" t="s">
        <v>178</v>
      </c>
      <c r="C15" s="136">
        <v>0.23</v>
      </c>
      <c r="D15" s="136">
        <v>0.23</v>
      </c>
      <c r="E15" s="136">
        <f>D15/C15*100%</f>
        <v>1</v>
      </c>
      <c r="F15" s="139">
        <v>0.23</v>
      </c>
      <c r="H15" s="96"/>
    </row>
    <row r="16" spans="2:8" x14ac:dyDescent="0.25">
      <c r="B16" s="133" t="s">
        <v>179</v>
      </c>
      <c r="C16" s="136">
        <v>0.37</v>
      </c>
      <c r="D16" s="136">
        <f>14.23%+D15</f>
        <v>0.37230000000000002</v>
      </c>
      <c r="E16" s="136">
        <f>D16/C16*100%</f>
        <v>1.0062162162162163</v>
      </c>
      <c r="F16" s="137">
        <v>0.14000000000000001</v>
      </c>
      <c r="H16" s="128"/>
    </row>
    <row r="17" spans="2:6" x14ac:dyDescent="0.25">
      <c r="B17" s="133" t="s">
        <v>180</v>
      </c>
      <c r="C17" s="136">
        <v>0.49</v>
      </c>
      <c r="D17" s="136"/>
      <c r="E17" s="136">
        <f>D17/C17*100%</f>
        <v>0</v>
      </c>
      <c r="F17" s="137">
        <v>0.12</v>
      </c>
    </row>
    <row r="18" spans="2:6" x14ac:dyDescent="0.25">
      <c r="B18" s="133" t="s">
        <v>181</v>
      </c>
      <c r="C18" s="136">
        <v>0.6</v>
      </c>
      <c r="D18" s="136"/>
      <c r="E18" s="136">
        <f>D18/C18*100%</f>
        <v>0</v>
      </c>
      <c r="F18" s="137">
        <v>0.11</v>
      </c>
    </row>
    <row r="19" spans="2:6" x14ac:dyDescent="0.25">
      <c r="B19" s="133" t="s">
        <v>182</v>
      </c>
      <c r="C19" s="137">
        <v>0.6</v>
      </c>
      <c r="D19" s="137">
        <f>+D16</f>
        <v>0.37230000000000002</v>
      </c>
      <c r="E19" s="137">
        <f>(D19*100%)/C19</f>
        <v>0.62050000000000005</v>
      </c>
      <c r="F19" s="137">
        <v>0.6</v>
      </c>
    </row>
  </sheetData>
  <mergeCells count="4">
    <mergeCell ref="B4:B5"/>
    <mergeCell ref="C4:D4"/>
    <mergeCell ref="E4:F4"/>
    <mergeCell ref="G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212" t="s">
        <v>2</v>
      </c>
      <c r="B1" s="214" t="s">
        <v>1</v>
      </c>
      <c r="C1" s="215" t="s">
        <v>3</v>
      </c>
      <c r="D1" s="215"/>
      <c r="E1" s="215"/>
      <c r="F1" s="215"/>
      <c r="G1" s="216" t="s">
        <v>39</v>
      </c>
      <c r="H1" s="217" t="s">
        <v>17</v>
      </c>
      <c r="I1" s="218"/>
      <c r="J1" s="218"/>
      <c r="K1" s="210" t="s">
        <v>20</v>
      </c>
      <c r="L1" s="211"/>
    </row>
    <row r="2" spans="1:12" ht="63.75" customHeight="1" thickBot="1" x14ac:dyDescent="0.3">
      <c r="A2" s="213"/>
      <c r="B2" s="201"/>
      <c r="C2" s="42">
        <v>2019</v>
      </c>
      <c r="D2" s="42">
        <v>2020</v>
      </c>
      <c r="E2" s="42">
        <v>2021</v>
      </c>
      <c r="F2" s="42">
        <v>2022</v>
      </c>
      <c r="G2" s="200"/>
      <c r="H2" s="52" t="s">
        <v>18</v>
      </c>
      <c r="I2" s="53" t="s">
        <v>19</v>
      </c>
      <c r="J2" s="53" t="s">
        <v>24</v>
      </c>
      <c r="K2" s="54" t="s">
        <v>95</v>
      </c>
      <c r="L2" s="55" t="s">
        <v>93</v>
      </c>
    </row>
    <row r="3" spans="1:12" ht="54" x14ac:dyDescent="0.25">
      <c r="A3" s="44" t="s">
        <v>4</v>
      </c>
      <c r="B3" s="30">
        <v>0.6</v>
      </c>
      <c r="C3" s="45">
        <v>0.03</v>
      </c>
      <c r="D3" s="46">
        <v>0.23</v>
      </c>
      <c r="E3" s="46">
        <v>0.5</v>
      </c>
      <c r="F3" s="46">
        <v>0.6</v>
      </c>
      <c r="G3" s="47" t="s">
        <v>23</v>
      </c>
      <c r="H3" s="48">
        <v>0.03</v>
      </c>
      <c r="I3" s="49">
        <v>0.03</v>
      </c>
      <c r="J3" s="50">
        <f t="shared" ref="J3" si="0">I3/H3</f>
        <v>1</v>
      </c>
      <c r="K3" s="51">
        <v>0.23</v>
      </c>
      <c r="L3" s="56">
        <v>5.0000000000000001E-3</v>
      </c>
    </row>
  </sheetData>
  <mergeCells count="6">
    <mergeCell ref="K1:L1"/>
    <mergeCell ref="A1:A2"/>
    <mergeCell ref="B1:B2"/>
    <mergeCell ref="C1:F1"/>
    <mergeCell ref="G1:G2"/>
    <mergeCell ref="H1:J1"/>
  </mergeCells>
  <phoneticPr fontId="9" type="noConversion"/>
  <conditionalFormatting sqref="J3">
    <cfRule type="cellIs" dxfId="20" priority="16" operator="lessThan">
      <formula>0.4</formula>
    </cfRule>
    <cfRule type="cellIs" dxfId="19" priority="17" operator="between">
      <formula>0.4</formula>
      <formula>0.799</formula>
    </cfRule>
    <cfRule type="cellIs" dxfId="18" priority="18" operator="greaterThanOrEqual">
      <formula>0.8</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221" t="s">
        <v>2</v>
      </c>
      <c r="B1" s="215" t="s">
        <v>1</v>
      </c>
      <c r="C1" s="215" t="s">
        <v>3</v>
      </c>
      <c r="D1" s="215"/>
      <c r="E1" s="215"/>
      <c r="F1" s="215"/>
      <c r="G1" s="215" t="s">
        <v>39</v>
      </c>
      <c r="H1" s="224" t="s">
        <v>17</v>
      </c>
      <c r="I1" s="224"/>
      <c r="J1" s="224"/>
      <c r="K1" s="219" t="s">
        <v>20</v>
      </c>
      <c r="L1" s="220"/>
    </row>
    <row r="2" spans="1:12" ht="57.75" customHeight="1" thickBot="1" x14ac:dyDescent="0.3">
      <c r="A2" s="222"/>
      <c r="B2" s="223"/>
      <c r="C2" s="57">
        <v>2019</v>
      </c>
      <c r="D2" s="57">
        <v>2020</v>
      </c>
      <c r="E2" s="57">
        <v>2021</v>
      </c>
      <c r="F2" s="57">
        <v>2022</v>
      </c>
      <c r="G2" s="223"/>
      <c r="H2" s="58" t="s">
        <v>18</v>
      </c>
      <c r="I2" s="59" t="s">
        <v>19</v>
      </c>
      <c r="J2" s="59" t="s">
        <v>24</v>
      </c>
      <c r="K2" s="54" t="s">
        <v>95</v>
      </c>
      <c r="L2" s="55" t="s">
        <v>93</v>
      </c>
    </row>
    <row r="3" spans="1:12" ht="54" x14ac:dyDescent="0.25">
      <c r="A3" s="16" t="s">
        <v>4</v>
      </c>
      <c r="B3" s="7">
        <v>0.6</v>
      </c>
      <c r="C3" s="5">
        <v>0.23</v>
      </c>
      <c r="D3" s="5">
        <v>0.37</v>
      </c>
      <c r="E3" s="5">
        <v>0.49</v>
      </c>
      <c r="F3" s="5">
        <v>0.6</v>
      </c>
      <c r="G3" s="32" t="s">
        <v>23</v>
      </c>
      <c r="H3" s="8">
        <f t="shared" ref="H3" si="0">+C3</f>
        <v>0.23</v>
      </c>
      <c r="I3" s="8">
        <v>0.23</v>
      </c>
      <c r="J3" s="12">
        <f t="shared" ref="J3" si="1">I3/H3</f>
        <v>1</v>
      </c>
      <c r="K3" s="8">
        <v>0.37</v>
      </c>
      <c r="L3" s="8">
        <v>8.0000000000000002E-3</v>
      </c>
    </row>
  </sheetData>
  <mergeCells count="6">
    <mergeCell ref="K1:L1"/>
    <mergeCell ref="A1:A2"/>
    <mergeCell ref="B1:B2"/>
    <mergeCell ref="C1:F1"/>
    <mergeCell ref="G1:G2"/>
    <mergeCell ref="H1:J1"/>
  </mergeCells>
  <phoneticPr fontId="9" type="noConversion"/>
  <conditionalFormatting sqref="J3">
    <cfRule type="cellIs" dxfId="17" priority="22" operator="lessThan">
      <formula>0.4</formula>
    </cfRule>
    <cfRule type="cellIs" dxfId="16" priority="23" operator="between">
      <formula>0.4</formula>
      <formula>0.799</formula>
    </cfRule>
    <cfRule type="cellIs" dxfId="15" priority="24" operator="greaterThanOrEqual">
      <formula>0.8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221" t="s">
        <v>2</v>
      </c>
      <c r="B1" s="215" t="s">
        <v>1</v>
      </c>
      <c r="C1" s="215" t="s">
        <v>3</v>
      </c>
      <c r="D1" s="215"/>
      <c r="E1" s="215"/>
      <c r="F1" s="215"/>
      <c r="G1" s="215" t="s">
        <v>39</v>
      </c>
      <c r="H1" s="224" t="s">
        <v>17</v>
      </c>
      <c r="I1" s="224"/>
      <c r="J1" s="224"/>
      <c r="K1" s="219" t="s">
        <v>20</v>
      </c>
      <c r="L1" s="220"/>
    </row>
    <row r="2" spans="1:12" ht="60.75" customHeight="1" thickBot="1" x14ac:dyDescent="0.3">
      <c r="A2" s="222"/>
      <c r="B2" s="223"/>
      <c r="C2" s="57">
        <v>2019</v>
      </c>
      <c r="D2" s="57">
        <v>2020</v>
      </c>
      <c r="E2" s="57">
        <v>2021</v>
      </c>
      <c r="F2" s="57">
        <v>2022</v>
      </c>
      <c r="G2" s="223"/>
      <c r="H2" s="58" t="s">
        <v>18</v>
      </c>
      <c r="I2" s="59" t="s">
        <v>19</v>
      </c>
      <c r="J2" s="59" t="s">
        <v>24</v>
      </c>
      <c r="K2" s="54" t="s">
        <v>95</v>
      </c>
      <c r="L2" s="55" t="s">
        <v>93</v>
      </c>
    </row>
    <row r="3" spans="1:12" ht="36" x14ac:dyDescent="0.25">
      <c r="A3" s="60" t="s">
        <v>4</v>
      </c>
      <c r="B3" s="61">
        <v>0.6</v>
      </c>
      <c r="C3" s="48">
        <v>8.5000000000000006E-2</v>
      </c>
      <c r="D3" s="48">
        <v>0.20100000000000001</v>
      </c>
      <c r="E3" s="48">
        <v>0.35099999999999998</v>
      </c>
      <c r="F3" s="46">
        <v>0.6</v>
      </c>
      <c r="G3" s="62" t="s">
        <v>5</v>
      </c>
      <c r="H3" s="48">
        <v>8.5000000000000006E-2</v>
      </c>
      <c r="I3" s="48">
        <v>2.3E-2</v>
      </c>
      <c r="J3" s="63">
        <f>I3/H3</f>
        <v>0.27058823529411763</v>
      </c>
      <c r="K3" s="48">
        <v>0.20100000000000001</v>
      </c>
      <c r="L3" s="45">
        <v>0</v>
      </c>
    </row>
  </sheetData>
  <mergeCells count="6">
    <mergeCell ref="K1:L1"/>
    <mergeCell ref="A1:A2"/>
    <mergeCell ref="B1:B2"/>
    <mergeCell ref="C1:F1"/>
    <mergeCell ref="G1:G2"/>
    <mergeCell ref="H1:J1"/>
  </mergeCells>
  <conditionalFormatting sqref="J3">
    <cfRule type="cellIs" dxfId="14" priority="1" operator="lessThan">
      <formula>0.4</formula>
    </cfRule>
    <cfRule type="cellIs" dxfId="13" priority="2" operator="between">
      <formula>0.4</formula>
      <formula>0.799</formula>
    </cfRule>
    <cfRule type="cellIs" dxfId="12" priority="3"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221" t="s">
        <v>2</v>
      </c>
      <c r="B1" s="215" t="s">
        <v>1</v>
      </c>
      <c r="C1" s="215" t="s">
        <v>3</v>
      </c>
      <c r="D1" s="215"/>
      <c r="E1" s="215"/>
      <c r="F1" s="215"/>
      <c r="G1" s="215" t="s">
        <v>39</v>
      </c>
      <c r="H1" s="224" t="s">
        <v>17</v>
      </c>
      <c r="I1" s="224"/>
      <c r="J1" s="224"/>
      <c r="K1" s="219" t="s">
        <v>20</v>
      </c>
      <c r="L1" s="220"/>
    </row>
    <row r="2" spans="1:12" ht="58.5" customHeight="1" thickBot="1" x14ac:dyDescent="0.3">
      <c r="A2" s="222"/>
      <c r="B2" s="223"/>
      <c r="C2" s="57">
        <v>2019</v>
      </c>
      <c r="D2" s="57">
        <v>2020</v>
      </c>
      <c r="E2" s="57">
        <v>2021</v>
      </c>
      <c r="F2" s="57">
        <v>2022</v>
      </c>
      <c r="G2" s="223"/>
      <c r="H2" s="58" t="s">
        <v>18</v>
      </c>
      <c r="I2" s="59" t="s">
        <v>19</v>
      </c>
      <c r="J2" s="59" t="s">
        <v>24</v>
      </c>
      <c r="K2" s="54" t="s">
        <v>95</v>
      </c>
      <c r="L2" s="55" t="s">
        <v>93</v>
      </c>
    </row>
    <row r="3" spans="1:12" ht="36" x14ac:dyDescent="0.25">
      <c r="A3" s="60" t="s">
        <v>4</v>
      </c>
      <c r="B3" s="61">
        <v>1</v>
      </c>
      <c r="C3" s="45">
        <v>0.05</v>
      </c>
      <c r="D3" s="45">
        <v>0.3</v>
      </c>
      <c r="E3" s="45">
        <v>0.6</v>
      </c>
      <c r="F3" s="46">
        <v>1</v>
      </c>
      <c r="G3" s="64" t="s">
        <v>96</v>
      </c>
      <c r="H3" s="45">
        <v>0.05</v>
      </c>
      <c r="I3" s="45">
        <v>0.05</v>
      </c>
      <c r="J3" s="63">
        <f>I3/H3</f>
        <v>1</v>
      </c>
      <c r="K3" s="45">
        <v>0.3</v>
      </c>
      <c r="L3" s="45">
        <v>0.14000000000000001</v>
      </c>
    </row>
  </sheetData>
  <mergeCells count="6">
    <mergeCell ref="K1:L1"/>
    <mergeCell ref="A1:A2"/>
    <mergeCell ref="B1:B2"/>
    <mergeCell ref="C1:F1"/>
    <mergeCell ref="G1:G2"/>
    <mergeCell ref="H1:J1"/>
  </mergeCells>
  <conditionalFormatting sqref="J3">
    <cfRule type="cellIs" dxfId="11" priority="1" operator="lessThan">
      <formula>0.4</formula>
    </cfRule>
    <cfRule type="cellIs" dxfId="10" priority="2" operator="between">
      <formula>0.4</formula>
      <formula>0.799</formula>
    </cfRule>
    <cfRule type="cellIs" dxfId="9" priority="3"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221" t="s">
        <v>2</v>
      </c>
      <c r="B1" s="215" t="s">
        <v>1</v>
      </c>
      <c r="C1" s="215" t="s">
        <v>3</v>
      </c>
      <c r="D1" s="215"/>
      <c r="E1" s="215"/>
      <c r="F1" s="215"/>
      <c r="G1" s="215" t="s">
        <v>39</v>
      </c>
      <c r="H1" s="224" t="s">
        <v>17</v>
      </c>
      <c r="I1" s="224"/>
      <c r="J1" s="224"/>
      <c r="K1" s="219" t="s">
        <v>20</v>
      </c>
      <c r="L1" s="220"/>
    </row>
    <row r="2" spans="1:12" ht="72.75" thickBot="1" x14ac:dyDescent="0.3">
      <c r="A2" s="222"/>
      <c r="B2" s="223"/>
      <c r="C2" s="57">
        <v>2019</v>
      </c>
      <c r="D2" s="57">
        <v>2020</v>
      </c>
      <c r="E2" s="57">
        <v>2021</v>
      </c>
      <c r="F2" s="57">
        <v>2022</v>
      </c>
      <c r="G2" s="223"/>
      <c r="H2" s="58" t="s">
        <v>18</v>
      </c>
      <c r="I2" s="59" t="s">
        <v>19</v>
      </c>
      <c r="J2" s="59" t="s">
        <v>24</v>
      </c>
      <c r="K2" s="54" t="s">
        <v>95</v>
      </c>
      <c r="L2" s="55" t="s">
        <v>93</v>
      </c>
    </row>
    <row r="3" spans="1:12" ht="36" x14ac:dyDescent="0.25">
      <c r="A3" s="65" t="s">
        <v>8</v>
      </c>
      <c r="B3" s="67">
        <v>20</v>
      </c>
      <c r="C3" s="67">
        <v>6</v>
      </c>
      <c r="D3" s="67">
        <v>10</v>
      </c>
      <c r="E3" s="67">
        <v>17</v>
      </c>
      <c r="F3" s="67">
        <v>20</v>
      </c>
      <c r="G3" s="64" t="s">
        <v>5</v>
      </c>
      <c r="H3" s="67">
        <v>6</v>
      </c>
      <c r="I3" s="67">
        <v>8</v>
      </c>
      <c r="J3" s="63">
        <f>I3/H3</f>
        <v>1.3333333333333333</v>
      </c>
      <c r="K3" s="66">
        <v>10</v>
      </c>
      <c r="L3" s="66">
        <v>11</v>
      </c>
    </row>
  </sheetData>
  <mergeCells count="6">
    <mergeCell ref="K1:L1"/>
    <mergeCell ref="A1:A2"/>
    <mergeCell ref="B1:B2"/>
    <mergeCell ref="C1:F1"/>
    <mergeCell ref="G1:G2"/>
    <mergeCell ref="H1:J1"/>
  </mergeCells>
  <conditionalFormatting sqref="J3">
    <cfRule type="cellIs" dxfId="8" priority="1" operator="lessThan">
      <formula>0.4</formula>
    </cfRule>
    <cfRule type="cellIs" dxfId="7" priority="2" operator="between">
      <formula>0.4</formula>
      <formula>0.799</formula>
    </cfRule>
    <cfRule type="cellIs" dxfId="6" priority="3" operator="greaterThanOrEqual">
      <formula>0.8</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215" t="s">
        <v>1</v>
      </c>
      <c r="B1" s="215" t="s">
        <v>3</v>
      </c>
      <c r="C1" s="215"/>
      <c r="D1" s="215"/>
      <c r="E1" s="215"/>
      <c r="F1" s="215" t="s">
        <v>39</v>
      </c>
      <c r="G1" s="224" t="s">
        <v>17</v>
      </c>
      <c r="H1" s="224"/>
      <c r="I1" s="224"/>
      <c r="J1" s="219" t="s">
        <v>20</v>
      </c>
      <c r="K1" s="220"/>
    </row>
    <row r="2" spans="1:11" ht="79.5" customHeight="1" thickBot="1" x14ac:dyDescent="0.3">
      <c r="A2" s="223"/>
      <c r="B2" s="57">
        <v>2019</v>
      </c>
      <c r="C2" s="57">
        <v>2020</v>
      </c>
      <c r="D2" s="57">
        <v>2021</v>
      </c>
      <c r="E2" s="57">
        <v>2022</v>
      </c>
      <c r="F2" s="223"/>
      <c r="G2" s="58" t="s">
        <v>18</v>
      </c>
      <c r="H2" s="59" t="s">
        <v>19</v>
      </c>
      <c r="I2" s="59" t="s">
        <v>24</v>
      </c>
      <c r="J2" s="54" t="s">
        <v>95</v>
      </c>
      <c r="K2" s="55" t="s">
        <v>93</v>
      </c>
    </row>
    <row r="3" spans="1:11" ht="25.5" x14ac:dyDescent="0.25">
      <c r="A3" s="67">
        <v>250</v>
      </c>
      <c r="B3" s="67">
        <v>175</v>
      </c>
      <c r="C3" s="67">
        <v>200</v>
      </c>
      <c r="D3" s="67">
        <v>225</v>
      </c>
      <c r="E3" s="67">
        <v>250</v>
      </c>
      <c r="F3" s="65" t="s">
        <v>12</v>
      </c>
      <c r="G3" s="67">
        <v>175</v>
      </c>
      <c r="H3" s="67">
        <v>185</v>
      </c>
      <c r="I3" s="63">
        <f>H3/G3</f>
        <v>1.0571428571428572</v>
      </c>
      <c r="J3" s="66">
        <v>200</v>
      </c>
      <c r="K3" s="66">
        <v>200</v>
      </c>
    </row>
  </sheetData>
  <mergeCells count="5">
    <mergeCell ref="A1:A2"/>
    <mergeCell ref="B1:E1"/>
    <mergeCell ref="F1:F2"/>
    <mergeCell ref="G1:I1"/>
    <mergeCell ref="J1:K1"/>
  </mergeCells>
  <conditionalFormatting sqref="I3">
    <cfRule type="cellIs" dxfId="5" priority="1" operator="lessThan">
      <formula>0.4</formula>
    </cfRule>
    <cfRule type="cellIs" dxfId="4" priority="2" operator="between">
      <formula>0.4</formula>
      <formula>0.799</formula>
    </cfRule>
    <cfRule type="cellIs" dxfId="3" priority="3" operator="greaterThanOrEqual">
      <formula>0.8</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221" t="s">
        <v>2</v>
      </c>
      <c r="B1" s="215" t="s">
        <v>1</v>
      </c>
      <c r="C1" s="215" t="s">
        <v>3</v>
      </c>
      <c r="D1" s="215"/>
      <c r="E1" s="215"/>
      <c r="F1" s="215"/>
      <c r="G1" s="215" t="s">
        <v>39</v>
      </c>
      <c r="H1" s="224" t="s">
        <v>17</v>
      </c>
      <c r="I1" s="224"/>
      <c r="J1" s="224"/>
      <c r="K1" s="219" t="s">
        <v>20</v>
      </c>
      <c r="L1" s="220"/>
    </row>
    <row r="2" spans="1:12" ht="76.5" customHeight="1" thickBot="1" x14ac:dyDescent="0.3">
      <c r="A2" s="222"/>
      <c r="B2" s="223"/>
      <c r="C2" s="57">
        <v>2019</v>
      </c>
      <c r="D2" s="57">
        <v>2020</v>
      </c>
      <c r="E2" s="57">
        <v>2021</v>
      </c>
      <c r="F2" s="57">
        <v>2022</v>
      </c>
      <c r="G2" s="223"/>
      <c r="H2" s="58" t="s">
        <v>18</v>
      </c>
      <c r="I2" s="59" t="s">
        <v>19</v>
      </c>
      <c r="J2" s="59" t="s">
        <v>24</v>
      </c>
      <c r="K2" s="54" t="s">
        <v>95</v>
      </c>
      <c r="L2" s="55" t="s">
        <v>93</v>
      </c>
    </row>
    <row r="3" spans="1:12" ht="36" x14ac:dyDescent="0.25">
      <c r="A3" s="60" t="s">
        <v>4</v>
      </c>
      <c r="B3" s="61">
        <v>1</v>
      </c>
      <c r="C3" s="48">
        <v>3.0000000000000001E-3</v>
      </c>
      <c r="D3" s="48">
        <v>0.19900000000000001</v>
      </c>
      <c r="E3" s="48">
        <v>0.20300000000000001</v>
      </c>
      <c r="F3" s="48">
        <v>0.59399999999999997</v>
      </c>
      <c r="G3" s="62" t="s">
        <v>5</v>
      </c>
      <c r="H3" s="48">
        <v>3.0000000000000001E-3</v>
      </c>
      <c r="I3" s="48">
        <v>3.0000000000000001E-3</v>
      </c>
      <c r="J3" s="63">
        <f>I3/H3</f>
        <v>1</v>
      </c>
      <c r="K3" s="48">
        <v>0.19900000000000001</v>
      </c>
      <c r="L3" s="45">
        <v>0</v>
      </c>
    </row>
  </sheetData>
  <mergeCells count="6">
    <mergeCell ref="K1:L1"/>
    <mergeCell ref="A1:A2"/>
    <mergeCell ref="B1:B2"/>
    <mergeCell ref="C1:F1"/>
    <mergeCell ref="G1:G2"/>
    <mergeCell ref="H1:J1"/>
  </mergeCells>
  <conditionalFormatting sqref="J3">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Metas PND IGAC_2020</vt:lpstr>
      <vt:lpstr>Hoja1</vt:lpstr>
      <vt:lpstr>Hoja2</vt:lpstr>
      <vt:lpstr>Hoja3</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XIMENA RUISEÑORA</cp:lastModifiedBy>
  <dcterms:created xsi:type="dcterms:W3CDTF">2019-08-16T15:25:21Z</dcterms:created>
  <dcterms:modified xsi:type="dcterms:W3CDTF">2021-01-15T15:23:30Z</dcterms:modified>
</cp:coreProperties>
</file>